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13_ncr:1_{57974A42-E190-429C-ABE7-0774B7B80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_xlnm.Print_Area" localSheetId="0">Feuil1!$B$1:$G$29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4" i="2" l="1"/>
  <c r="G43" i="2"/>
  <c r="F43" i="2"/>
  <c r="I43" i="2" s="1"/>
  <c r="G42" i="2"/>
  <c r="F42" i="2"/>
  <c r="I42" i="2" s="1"/>
  <c r="G41" i="2"/>
  <c r="F41" i="2"/>
  <c r="I41" i="2" s="1"/>
  <c r="G39" i="2"/>
  <c r="F39" i="2"/>
  <c r="I39" i="2" s="1"/>
  <c r="G38" i="2"/>
  <c r="F38" i="2"/>
  <c r="I38" i="2" s="1"/>
  <c r="C38" i="2"/>
  <c r="J36" i="2"/>
  <c r="M36" i="2" s="1"/>
  <c r="N36" i="2" s="1"/>
  <c r="G36" i="2"/>
  <c r="C36" i="2"/>
  <c r="C37" i="2" s="1"/>
  <c r="G33" i="2"/>
  <c r="C33" i="2"/>
  <c r="F33" i="2" s="1"/>
  <c r="I33" i="2" s="1"/>
  <c r="J32" i="2"/>
  <c r="M32" i="2" s="1"/>
  <c r="N32" i="2" s="1"/>
  <c r="G32" i="2"/>
  <c r="F32" i="2"/>
  <c r="I32" i="2" s="1"/>
  <c r="C32" i="2"/>
  <c r="E32" i="2" s="1"/>
  <c r="G31" i="2"/>
  <c r="F31" i="2"/>
  <c r="I31" i="2" s="1"/>
  <c r="G30" i="2"/>
  <c r="F30" i="2"/>
  <c r="I30" i="2" s="1"/>
  <c r="G28" i="2"/>
  <c r="F28" i="2"/>
  <c r="I28" i="2" s="1"/>
  <c r="G27" i="2"/>
  <c r="F27" i="2"/>
  <c r="I27" i="2" s="1"/>
  <c r="G26" i="2"/>
  <c r="F26" i="2"/>
  <c r="I26" i="2" s="1"/>
  <c r="G25" i="2"/>
  <c r="F25" i="2"/>
  <c r="I25" i="2" s="1"/>
  <c r="F24" i="2"/>
  <c r="E24" i="2"/>
  <c r="E43" i="2" s="1"/>
  <c r="H43" i="2" s="1"/>
  <c r="D24" i="2"/>
  <c r="D43" i="2" s="1"/>
  <c r="C21" i="2"/>
  <c r="C20" i="2"/>
  <c r="E19" i="2"/>
  <c r="D19" i="2"/>
  <c r="E18" i="2"/>
  <c r="D18" i="2"/>
  <c r="E17" i="2"/>
  <c r="E20" i="2" s="1"/>
  <c r="E21" i="2" s="1"/>
  <c r="D17" i="2"/>
  <c r="D54" i="2" s="1"/>
  <c r="C17" i="2"/>
  <c r="F17" i="2" s="1"/>
  <c r="D9" i="2"/>
  <c r="C8" i="2"/>
  <c r="E8" i="2" s="1"/>
  <c r="C6" i="2"/>
  <c r="C7" i="2" s="1"/>
  <c r="D4" i="2"/>
  <c r="F3" i="2"/>
  <c r="F18" i="2" s="1"/>
  <c r="E3" i="2"/>
  <c r="E10" i="2" s="1"/>
  <c r="D3" i="2"/>
  <c r="D10" i="2" s="1"/>
  <c r="G24" i="1"/>
  <c r="G26" i="1"/>
  <c r="F26" i="1"/>
  <c r="F25" i="1"/>
  <c r="G25" i="1" s="1"/>
  <c r="F24" i="1"/>
  <c r="F23" i="1"/>
  <c r="G23" i="1" s="1"/>
  <c r="F22" i="1"/>
  <c r="D7" i="2" l="1"/>
  <c r="D15" i="2" s="1"/>
  <c r="D16" i="2" s="1"/>
  <c r="C15" i="2"/>
  <c r="C16" i="2" s="1"/>
  <c r="F7" i="2"/>
  <c r="E7" i="2"/>
  <c r="F53" i="2"/>
  <c r="F51" i="2"/>
  <c r="F20" i="2"/>
  <c r="F21" i="2" s="1"/>
  <c r="F54" i="2"/>
  <c r="F52" i="2"/>
  <c r="H32" i="2"/>
  <c r="E52" i="2"/>
  <c r="D37" i="2"/>
  <c r="E37" i="2"/>
  <c r="F37" i="2"/>
  <c r="F8" i="2"/>
  <c r="C12" i="2"/>
  <c r="C13" i="2" s="1"/>
  <c r="C22" i="2" s="1"/>
  <c r="D36" i="2"/>
  <c r="D51" i="2" s="1"/>
  <c r="E4" i="2"/>
  <c r="D6" i="2"/>
  <c r="E9" i="2"/>
  <c r="F19" i="2"/>
  <c r="D33" i="2"/>
  <c r="C34" i="2"/>
  <c r="E36" i="2"/>
  <c r="H36" i="2" s="1"/>
  <c r="F4" i="2"/>
  <c r="E6" i="2"/>
  <c r="F9" i="2"/>
  <c r="D25" i="2"/>
  <c r="D26" i="2"/>
  <c r="D27" i="2"/>
  <c r="D28" i="2"/>
  <c r="D30" i="2"/>
  <c r="D31" i="2"/>
  <c r="E33" i="2"/>
  <c r="H33" i="2" s="1"/>
  <c r="F36" i="2"/>
  <c r="I36" i="2" s="1"/>
  <c r="D38" i="2"/>
  <c r="D39" i="2"/>
  <c r="D53" i="2" s="1"/>
  <c r="D41" i="2"/>
  <c r="D42" i="2"/>
  <c r="E53" i="2"/>
  <c r="F5" i="2"/>
  <c r="F10" i="2"/>
  <c r="D5" i="2"/>
  <c r="D12" i="2" s="1"/>
  <c r="D13" i="2" s="1"/>
  <c r="F6" i="2"/>
  <c r="D8" i="2"/>
  <c r="D20" i="2"/>
  <c r="D21" i="2" s="1"/>
  <c r="E25" i="2"/>
  <c r="H25" i="2" s="1"/>
  <c r="E26" i="2"/>
  <c r="H26" i="2" s="1"/>
  <c r="E27" i="2"/>
  <c r="H27" i="2" s="1"/>
  <c r="E28" i="2"/>
  <c r="H28" i="2" s="1"/>
  <c r="E30" i="2"/>
  <c r="H30" i="2" s="1"/>
  <c r="E31" i="2"/>
  <c r="H31" i="2" s="1"/>
  <c r="D32" i="2"/>
  <c r="E38" i="2"/>
  <c r="H38" i="2" s="1"/>
  <c r="E39" i="2"/>
  <c r="H39" i="2" s="1"/>
  <c r="E41" i="2"/>
  <c r="H41" i="2" s="1"/>
  <c r="E42" i="2"/>
  <c r="H42" i="2" s="1"/>
  <c r="E5" i="2"/>
  <c r="D52" i="2"/>
  <c r="G22" i="1"/>
  <c r="D48" i="2" l="1"/>
  <c r="D46" i="2"/>
  <c r="D47" i="2"/>
  <c r="F12" i="2"/>
  <c r="F13" i="2" s="1"/>
  <c r="F15" i="2"/>
  <c r="F16" i="2" s="1"/>
  <c r="E51" i="2"/>
  <c r="F34" i="2"/>
  <c r="E34" i="2"/>
  <c r="D34" i="2"/>
  <c r="E15" i="2"/>
  <c r="E16" i="2" s="1"/>
  <c r="E12" i="2"/>
  <c r="E13" i="2" s="1"/>
  <c r="F48" i="2" l="1"/>
  <c r="F46" i="2"/>
  <c r="F47" i="2"/>
  <c r="E48" i="2"/>
  <c r="E46" i="2"/>
  <c r="E47" i="2"/>
  <c r="E49" i="2"/>
  <c r="F4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***</author>
    <author>ANNE MARIE</author>
    <author xml:space="preserve"> </author>
  </authors>
  <commentList>
    <comment ref="A7" authorId="0" shapeId="0" xr:uid="{B010D716-891A-4317-83FD-B5E994BED571}">
      <text>
        <r>
          <rPr>
            <b/>
            <sz val="8"/>
            <color indexed="81"/>
            <rFont val="Tahoma"/>
            <family val="2"/>
          </rPr>
          <t>***:</t>
        </r>
        <r>
          <rPr>
            <sz val="8"/>
            <color indexed="81"/>
            <rFont val="Tahoma"/>
            <family val="2"/>
          </rPr>
          <t xml:space="preserve">
+prime sur les h. travaillées 0.76*80% des h.payées (10.03+0.61+0.45=11.09)</t>
        </r>
      </text>
    </comment>
    <comment ref="K23" authorId="1" shapeId="0" xr:uid="{56C6499F-80E2-4209-9FD1-529AAA6FCDBF}">
      <text>
        <r>
          <rPr>
            <b/>
            <sz val="9"/>
            <color indexed="81"/>
            <rFont val="Tahoma"/>
            <family val="2"/>
          </rPr>
          <t>ANNE MARIE:</t>
        </r>
        <r>
          <rPr>
            <sz val="9"/>
            <color indexed="81"/>
            <rFont val="Tahoma"/>
            <family val="2"/>
          </rPr>
          <t xml:space="preserve">
si apprenti mineur</t>
        </r>
      </text>
    </comment>
    <comment ref="B30" authorId="2" shapeId="0" xr:uid="{583CF325-0DE9-48C7-8788-267E09101153}">
      <text>
        <r>
          <rPr>
            <b/>
            <sz val="8"/>
            <color indexed="81"/>
            <rFont val="Tahoma"/>
            <family val="2"/>
          </rPr>
          <t xml:space="preserve">+18 ANS
</t>
        </r>
      </text>
    </comment>
    <comment ref="B31" authorId="2" shapeId="0" xr:uid="{6D6F708A-89F4-4165-ACD7-8F821A4BA31F}">
      <text>
        <r>
          <rPr>
            <b/>
            <sz val="8"/>
            <color indexed="81"/>
            <rFont val="Tahoma"/>
            <family val="2"/>
          </rPr>
          <t xml:space="preserve">+18 ANS
</t>
        </r>
      </text>
    </comment>
    <comment ref="B39" authorId="1" shapeId="0" xr:uid="{1B5F20CF-1B12-4B4E-9653-5BF51D50E9F5}">
      <text>
        <r>
          <rPr>
            <b/>
            <sz val="9"/>
            <color indexed="81"/>
            <rFont val="Tahoma"/>
            <family val="2"/>
          </rPr>
          <t>ANNE MARIE:</t>
        </r>
        <r>
          <rPr>
            <sz val="9"/>
            <color indexed="81"/>
            <rFont val="Tahoma"/>
            <family val="2"/>
          </rPr>
          <t xml:space="preserve">
date anniversaire de son embauche 4/11/2020
</t>
        </r>
      </text>
    </comment>
  </commentList>
</comments>
</file>

<file path=xl/sharedStrings.xml><?xml version="1.0" encoding="utf-8"?>
<sst xmlns="http://schemas.openxmlformats.org/spreadsheetml/2006/main" count="105" uniqueCount="69">
  <si>
    <t>TAUX HORAIRE PLOMBIER, OUVRIER QUALIFIE</t>
  </si>
  <si>
    <t>TAUX HORAIRE H.T. €</t>
  </si>
  <si>
    <t>1 Heure</t>
  </si>
  <si>
    <t>DEPLACEMENT PLOMBIERS</t>
  </si>
  <si>
    <t>H.T. en €</t>
  </si>
  <si>
    <t>TVA 10%</t>
  </si>
  <si>
    <t>Total TTC</t>
  </si>
  <si>
    <t xml:space="preserve">ZONE 1 </t>
  </si>
  <si>
    <t>MONTBELIARD</t>
  </si>
  <si>
    <t>ZONE 2</t>
  </si>
  <si>
    <t>Arbouans, Bart, Bavans, Bethoncourt, Courcelles-les-Montbeliard, Etupes, Exincourt, Grand Charmont, Sainte-Suzanne, Sochaux, Vieux Charmont</t>
  </si>
  <si>
    <t>ZONE 3</t>
  </si>
  <si>
    <t>Aundincourt, Etupes, Fesches-le-Châtel, Nommay, Valentigney, Voujeaucourt</t>
  </si>
  <si>
    <t>ZONE 4</t>
  </si>
  <si>
    <t>Allenjoie, Badevel, Dambenois, Dampierre-les-Bois, Dasles, Hérimoncourt, Seloncourt, Autres communes</t>
  </si>
  <si>
    <t>ZONE 5</t>
  </si>
  <si>
    <t>Déplacement Belfort et + de 15 km</t>
  </si>
  <si>
    <t>TAUX HORAIRE MOYEN AIDE</t>
  </si>
  <si>
    <t>TAUX HORAIRE COUVREUR , OUVRIER HAUTEMENT QUALIFIE</t>
  </si>
  <si>
    <t>TAUX HORAIRE COUVREUR , OUVRIER QUALIFIE</t>
  </si>
  <si>
    <t>TARIFS 2022</t>
  </si>
  <si>
    <t>PRIX DE REVIENT DE LA MAIN D'ŒUVRE 2018</t>
  </si>
  <si>
    <t>1) renseigner d'abord les charges 2017</t>
  </si>
  <si>
    <t>Coef.</t>
  </si>
  <si>
    <t xml:space="preserve">Taux </t>
  </si>
  <si>
    <t xml:space="preserve">A  hors FG  </t>
  </si>
  <si>
    <t xml:space="preserve">B    </t>
  </si>
  <si>
    <t xml:space="preserve">C     </t>
  </si>
  <si>
    <t>Tx horaire au 01/03/2007 151h67+17h33=x/151h67</t>
  </si>
  <si>
    <t>horaires</t>
  </si>
  <si>
    <t>MULLER Thierry</t>
  </si>
  <si>
    <t>avec 15 primes facturation /mois (4.57€*15)/151h67=+0.45€</t>
  </si>
  <si>
    <t>KASSEL Julien</t>
  </si>
  <si>
    <t>avec repas (9.8€*15)/151h67=+0.97€</t>
  </si>
  <si>
    <t>Moyenne plombiers</t>
  </si>
  <si>
    <t>hors déplacement, hors apprentis</t>
  </si>
  <si>
    <t>avec déplacement, hors apprentis</t>
  </si>
  <si>
    <t>BOUMERZOUG Nordine</t>
  </si>
  <si>
    <t>JACQUES Alexandre</t>
  </si>
  <si>
    <t>Total ferblantiers</t>
  </si>
  <si>
    <t>Moyenne ferblantiers</t>
  </si>
  <si>
    <t>Moyenne Ouvriers</t>
  </si>
  <si>
    <t>IMPACT AIDE/P.V. heures</t>
  </si>
  <si>
    <t>Sal annuel</t>
  </si>
  <si>
    <t>Aide PME</t>
  </si>
  <si>
    <t>Crédit impot</t>
  </si>
  <si>
    <t>Solde à charge</t>
  </si>
  <si>
    <t>APPRENTIS</t>
  </si>
  <si>
    <t>SYLAE</t>
  </si>
  <si>
    <t>1ère année</t>
  </si>
  <si>
    <t>2ème année</t>
  </si>
  <si>
    <t>SANS TR</t>
  </si>
  <si>
    <t>1er année</t>
  </si>
  <si>
    <t xml:space="preserve">Date d'anniversaire : </t>
  </si>
  <si>
    <t>Apprenti + 18 ans SANS CAP</t>
  </si>
  <si>
    <t>Apprenti+18 ans AVEC CAP</t>
  </si>
  <si>
    <t xml:space="preserve">PLOMBIER: </t>
  </si>
  <si>
    <t>DRISSI Oussama</t>
  </si>
  <si>
    <t>avec repas (9€80*15)/151h67=+0.80€</t>
  </si>
  <si>
    <t xml:space="preserve">COUVREUR : </t>
  </si>
  <si>
    <t>GILGENMANN Stéphane</t>
  </si>
  <si>
    <t>PLOMBIERS</t>
  </si>
  <si>
    <t>Moyenne ouvrier + moyenne apprentis</t>
  </si>
  <si>
    <t>Moyenne ouvrier + apprentis 2e année</t>
  </si>
  <si>
    <t>Moyenne ouvrier + apprentis 3e année</t>
  </si>
  <si>
    <t>Moyenne</t>
  </si>
  <si>
    <t>FERBLANTIERS</t>
  </si>
  <si>
    <t>Moyenne ouvrier + apprentis</t>
  </si>
  <si>
    <t>Moyenne ouvrier + aide à 9.61€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</si>
</sst>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_€"/>
    <numFmt numFmtId="165" formatCode="#,##0.00\ &quot;€&quot;"/>
    <numFmt numFmtId="166" formatCode="\d\ mmmm\ \y\y\y\y"/>
  </numFmts>
  <fonts count="39" x14ac:knownFonts="1">
    <font>
      <sz val="11"/>
      <color theme="1"/>
      <name val="Calibri"/>
      <family val="2"/>
      <scheme val="minor"/>
    </font>
    <font>
      <b/>
      <sz val="16"/>
      <color indexed="12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8"/>
      <color indexed="12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0"/>
      <color indexed="12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1"/>
      <color indexed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57"/>
      <name val="Arial"/>
      <family val="2"/>
    </font>
    <font>
      <sz val="10"/>
      <color indexed="57"/>
      <name val="Arial"/>
      <family val="2"/>
    </font>
    <font>
      <b/>
      <i/>
      <sz val="10"/>
      <color indexed="53"/>
      <name val="Arial"/>
      <family val="2"/>
    </font>
    <font>
      <i/>
      <sz val="10"/>
      <color indexed="53"/>
      <name val="Arial"/>
      <family val="2"/>
    </font>
    <font>
      <b/>
      <sz val="10"/>
      <color indexed="52"/>
      <name val="Arial"/>
      <family val="2"/>
    </font>
    <font>
      <i/>
      <u/>
      <sz val="10"/>
      <color indexed="53"/>
      <name val="Arial"/>
      <family val="2"/>
    </font>
    <font>
      <sz val="8"/>
      <name val="Arial"/>
      <family val="2"/>
    </font>
    <font>
      <b/>
      <sz val="12"/>
      <color rgb="FF00B0F0"/>
      <name val="Arial"/>
      <family val="2"/>
    </font>
    <font>
      <b/>
      <i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4">
    <xf numFmtId="0" fontId="0" fillId="0" borderId="0" xfId="0"/>
    <xf numFmtId="164" fontId="6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5" fontId="4" fillId="3" borderId="12" xfId="0" applyNumberFormat="1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164" fontId="8" fillId="0" borderId="11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166" fontId="5" fillId="0" borderId="23" xfId="0" applyNumberFormat="1" applyFont="1" applyBorder="1" applyAlignment="1">
      <alignment horizontal="center" vertical="center" wrapText="1"/>
    </xf>
    <xf numFmtId="166" fontId="12" fillId="0" borderId="24" xfId="0" applyNumberFormat="1" applyFont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166" fontId="9" fillId="0" borderId="23" xfId="0" applyNumberFormat="1" applyFont="1" applyBorder="1" applyAlignment="1">
      <alignment horizontal="center" vertical="center" wrapText="1"/>
    </xf>
    <xf numFmtId="166" fontId="12" fillId="0" borderId="26" xfId="0" applyNumberFormat="1" applyFont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2" fontId="0" fillId="5" borderId="7" xfId="0" applyNumberForma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16" fillId="0" borderId="29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2" fontId="6" fillId="5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0" xfId="0" applyFont="1"/>
    <xf numFmtId="0" fontId="13" fillId="0" borderId="31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3" fillId="0" borderId="26" xfId="0" applyFont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15" fillId="0" borderId="33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2" fontId="0" fillId="5" borderId="27" xfId="0" applyNumberFormat="1" applyFill="1" applyBorder="1" applyAlignment="1">
      <alignment horizontal="center" vertical="center"/>
    </xf>
    <xf numFmtId="0" fontId="13" fillId="0" borderId="32" xfId="0" applyFont="1" applyBorder="1"/>
    <xf numFmtId="0" fontId="13" fillId="0" borderId="0" xfId="0" applyFont="1"/>
    <xf numFmtId="2" fontId="0" fillId="5" borderId="34" xfId="0" applyNumberFormat="1" applyFill="1" applyBorder="1" applyAlignment="1">
      <alignment horizontal="center"/>
    </xf>
    <xf numFmtId="2" fontId="0" fillId="6" borderId="34" xfId="0" applyNumberFormat="1" applyFill="1" applyBorder="1" applyAlignment="1">
      <alignment horizontal="center"/>
    </xf>
    <xf numFmtId="0" fontId="14" fillId="0" borderId="32" xfId="0" applyFont="1" applyBorder="1"/>
    <xf numFmtId="0" fontId="13" fillId="0" borderId="26" xfId="0" applyFont="1" applyBorder="1"/>
    <xf numFmtId="0" fontId="0" fillId="5" borderId="27" xfId="0" applyFill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15" fillId="0" borderId="33" xfId="0" applyNumberFormat="1" applyFon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28" xfId="0" applyNumberFormat="1" applyBorder="1" applyAlignment="1">
      <alignment horizontal="center" vertical="center"/>
    </xf>
    <xf numFmtId="0" fontId="18" fillId="0" borderId="32" xfId="0" applyFont="1" applyBorder="1"/>
    <xf numFmtId="0" fontId="18" fillId="0" borderId="0" xfId="0" applyFont="1"/>
    <xf numFmtId="2" fontId="5" fillId="5" borderId="36" xfId="0" applyNumberFormat="1" applyFont="1" applyFill="1" applyBorder="1" applyAlignment="1">
      <alignment horizontal="center"/>
    </xf>
    <xf numFmtId="2" fontId="5" fillId="0" borderId="36" xfId="0" applyNumberFormat="1" applyFont="1" applyBorder="1" applyAlignment="1">
      <alignment horizontal="center"/>
    </xf>
    <xf numFmtId="0" fontId="5" fillId="0" borderId="0" xfId="0" applyFont="1"/>
    <xf numFmtId="0" fontId="13" fillId="0" borderId="10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2" fontId="0" fillId="5" borderId="38" xfId="0" applyNumberFormat="1" applyFill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2" fontId="15" fillId="0" borderId="39" xfId="0" applyNumberFormat="1" applyFon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19" fillId="0" borderId="41" xfId="0" applyNumberFormat="1" applyFont="1" applyBorder="1" applyAlignment="1">
      <alignment horizontal="center" vertical="center"/>
    </xf>
    <xf numFmtId="2" fontId="15" fillId="0" borderId="41" xfId="0" applyNumberFormat="1" applyFont="1" applyBorder="1" applyAlignment="1">
      <alignment horizontal="center" vertical="center"/>
    </xf>
    <xf numFmtId="2" fontId="19" fillId="0" borderId="42" xfId="0" applyNumberFormat="1" applyFont="1" applyBorder="1" applyAlignment="1">
      <alignment horizontal="center" vertical="center"/>
    </xf>
    <xf numFmtId="0" fontId="19" fillId="0" borderId="0" xfId="0" applyFont="1"/>
    <xf numFmtId="0" fontId="13" fillId="0" borderId="32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2" fontId="0" fillId="5" borderId="27" xfId="0" applyNumberFormat="1" applyFill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0" fillId="0" borderId="43" xfId="0" applyFont="1" applyBorder="1"/>
    <xf numFmtId="0" fontId="21" fillId="0" borderId="44" xfId="0" applyFont="1" applyBorder="1"/>
    <xf numFmtId="2" fontId="0" fillId="5" borderId="45" xfId="0" applyNumberFormat="1" applyFill="1" applyBorder="1"/>
    <xf numFmtId="2" fontId="4" fillId="2" borderId="45" xfId="0" applyNumberFormat="1" applyFont="1" applyFill="1" applyBorder="1" applyAlignment="1">
      <alignment horizontal="center"/>
    </xf>
    <xf numFmtId="2" fontId="2" fillId="2" borderId="46" xfId="0" applyNumberFormat="1" applyFont="1" applyFill="1" applyBorder="1" applyAlignment="1">
      <alignment horizontal="center"/>
    </xf>
    <xf numFmtId="2" fontId="4" fillId="2" borderId="47" xfId="0" applyNumberFormat="1" applyFont="1" applyFill="1" applyBorder="1" applyAlignment="1">
      <alignment horizontal="center"/>
    </xf>
    <xf numFmtId="0" fontId="13" fillId="7" borderId="10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2" fontId="4" fillId="5" borderId="11" xfId="0" applyNumberFormat="1" applyFont="1" applyFill="1" applyBorder="1"/>
    <xf numFmtId="0" fontId="0" fillId="0" borderId="11" xfId="0" applyBorder="1"/>
    <xf numFmtId="0" fontId="15" fillId="0" borderId="37" xfId="0" applyFont="1" applyBorder="1"/>
    <xf numFmtId="0" fontId="0" fillId="0" borderId="48" xfId="0" applyBorder="1"/>
    <xf numFmtId="0" fontId="0" fillId="0" borderId="20" xfId="0" applyBorder="1"/>
    <xf numFmtId="0" fontId="0" fillId="0" borderId="22" xfId="0" applyBorder="1"/>
    <xf numFmtId="0" fontId="22" fillId="0" borderId="32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12" fillId="5" borderId="53" xfId="0" applyFont="1" applyFill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0" fillId="0" borderId="51" xfId="0" applyBorder="1"/>
    <xf numFmtId="0" fontId="0" fillId="0" borderId="35" xfId="0" applyBorder="1"/>
    <xf numFmtId="0" fontId="19" fillId="0" borderId="38" xfId="0" applyFont="1" applyBorder="1" applyAlignment="1">
      <alignment vertical="center" wrapText="1"/>
    </xf>
    <xf numFmtId="0" fontId="6" fillId="0" borderId="22" xfId="0" applyFont="1" applyBorder="1"/>
    <xf numFmtId="43" fontId="7" fillId="5" borderId="26" xfId="1" applyFont="1" applyFill="1" applyBorder="1" applyAlignment="1"/>
    <xf numFmtId="2" fontId="6" fillId="0" borderId="27" xfId="0" applyNumberFormat="1" applyFont="1" applyBorder="1" applyAlignment="1">
      <alignment horizontal="center"/>
    </xf>
    <xf numFmtId="2" fontId="24" fillId="0" borderId="33" xfId="0" applyNumberFormat="1" applyFont="1" applyBorder="1" applyAlignment="1">
      <alignment horizontal="center"/>
    </xf>
    <xf numFmtId="2" fontId="6" fillId="0" borderId="49" xfId="0" applyNumberFormat="1" applyFont="1" applyBorder="1" applyAlignment="1">
      <alignment horizontal="center"/>
    </xf>
    <xf numFmtId="2" fontId="0" fillId="0" borderId="56" xfId="0" applyNumberFormat="1" applyBorder="1"/>
    <xf numFmtId="2" fontId="15" fillId="0" borderId="29" xfId="0" applyNumberFormat="1" applyFont="1" applyBorder="1"/>
    <xf numFmtId="2" fontId="0" fillId="0" borderId="30" xfId="0" applyNumberFormat="1" applyBorder="1"/>
    <xf numFmtId="14" fontId="4" fillId="4" borderId="32" xfId="0" applyNumberFormat="1" applyFont="1" applyFill="1" applyBorder="1"/>
    <xf numFmtId="0" fontId="0" fillId="4" borderId="57" xfId="0" applyFill="1" applyBorder="1"/>
    <xf numFmtId="2" fontId="0" fillId="0" borderId="49" xfId="0" applyNumberFormat="1" applyBorder="1" applyAlignment="1">
      <alignment horizontal="center"/>
    </xf>
    <xf numFmtId="2" fontId="0" fillId="0" borderId="0" xfId="0" applyNumberFormat="1"/>
    <xf numFmtId="14" fontId="25" fillId="0" borderId="32" xfId="0" applyNumberFormat="1" applyFont="1" applyBorder="1"/>
    <xf numFmtId="0" fontId="25" fillId="0" borderId="57" xfId="0" applyFont="1" applyBorder="1"/>
    <xf numFmtId="1" fontId="0" fillId="0" borderId="0" xfId="0" applyNumberFormat="1"/>
    <xf numFmtId="2" fontId="25" fillId="0" borderId="27" xfId="0" applyNumberFormat="1" applyFont="1" applyBorder="1" applyAlignment="1">
      <alignment horizontal="center"/>
    </xf>
    <xf numFmtId="2" fontId="25" fillId="0" borderId="33" xfId="0" applyNumberFormat="1" applyFont="1" applyBorder="1" applyAlignment="1">
      <alignment horizontal="center"/>
    </xf>
    <xf numFmtId="2" fontId="25" fillId="0" borderId="49" xfId="0" applyNumberFormat="1" applyFont="1" applyBorder="1" applyAlignment="1">
      <alignment horizontal="center"/>
    </xf>
    <xf numFmtId="0" fontId="0" fillId="0" borderId="32" xfId="0" applyBorder="1"/>
    <xf numFmtId="14" fontId="0" fillId="0" borderId="57" xfId="0" applyNumberFormat="1" applyBorder="1"/>
    <xf numFmtId="43" fontId="4" fillId="5" borderId="26" xfId="1" applyFont="1" applyFill="1" applyBorder="1" applyAlignment="1"/>
    <xf numFmtId="2" fontId="15" fillId="0" borderId="58" xfId="0" applyNumberFormat="1" applyFont="1" applyBorder="1"/>
    <xf numFmtId="2" fontId="0" fillId="0" borderId="59" xfId="0" applyNumberFormat="1" applyBorder="1"/>
    <xf numFmtId="0" fontId="26" fillId="0" borderId="38" xfId="0" applyFont="1" applyBorder="1"/>
    <xf numFmtId="0" fontId="27" fillId="0" borderId="39" xfId="0" applyFont="1" applyBorder="1"/>
    <xf numFmtId="43" fontId="4" fillId="5" borderId="39" xfId="1" applyFont="1" applyFill="1" applyBorder="1" applyAlignment="1"/>
    <xf numFmtId="2" fontId="0" fillId="8" borderId="39" xfId="0" applyNumberFormat="1" applyFill="1" applyBorder="1" applyAlignment="1">
      <alignment horizontal="center"/>
    </xf>
    <xf numFmtId="2" fontId="15" fillId="8" borderId="39" xfId="0" applyNumberFormat="1" applyFont="1" applyFill="1" applyBorder="1" applyAlignment="1">
      <alignment horizontal="center"/>
    </xf>
    <xf numFmtId="2" fontId="0" fillId="8" borderId="40" xfId="0" applyNumberFormat="1" applyFill="1" applyBorder="1" applyAlignment="1">
      <alignment horizontal="center"/>
    </xf>
    <xf numFmtId="2" fontId="15" fillId="8" borderId="39" xfId="0" applyNumberFormat="1" applyFont="1" applyFill="1" applyBorder="1"/>
    <xf numFmtId="2" fontId="0" fillId="8" borderId="40" xfId="0" applyNumberFormat="1" applyFill="1" applyBorder="1"/>
    <xf numFmtId="0" fontId="28" fillId="0" borderId="58" xfId="0" applyFont="1" applyBorder="1"/>
    <xf numFmtId="0" fontId="29" fillId="0" borderId="12" xfId="0" applyFont="1" applyBorder="1"/>
    <xf numFmtId="43" fontId="30" fillId="5" borderId="12" xfId="1" applyFont="1" applyFill="1" applyBorder="1" applyAlignment="1"/>
    <xf numFmtId="2" fontId="30" fillId="0" borderId="12" xfId="0" applyNumberFormat="1" applyFont="1" applyBorder="1" applyAlignment="1">
      <alignment horizontal="center"/>
    </xf>
    <xf numFmtId="2" fontId="30" fillId="0" borderId="59" xfId="0" applyNumberFormat="1" applyFont="1" applyBorder="1" applyAlignment="1">
      <alignment horizontal="center"/>
    </xf>
    <xf numFmtId="2" fontId="30" fillId="0" borderId="9" xfId="0" applyNumberFormat="1" applyFont="1" applyBorder="1"/>
    <xf numFmtId="2" fontId="30" fillId="0" borderId="7" xfId="0" applyNumberFormat="1" applyFont="1" applyBorder="1"/>
    <xf numFmtId="2" fontId="30" fillId="0" borderId="30" xfId="0" applyNumberFormat="1" applyFont="1" applyBorder="1"/>
    <xf numFmtId="0" fontId="19" fillId="0" borderId="38" xfId="0" applyFont="1" applyBorder="1"/>
    <xf numFmtId="43" fontId="4" fillId="5" borderId="7" xfId="1" applyFont="1" applyFill="1" applyBorder="1" applyAlignment="1"/>
    <xf numFmtId="2" fontId="15" fillId="8" borderId="7" xfId="0" applyNumberFormat="1" applyFont="1" applyFill="1" applyBorder="1"/>
    <xf numFmtId="2" fontId="0" fillId="8" borderId="30" xfId="0" applyNumberFormat="1" applyFill="1" applyBorder="1"/>
    <xf numFmtId="14" fontId="4" fillId="5" borderId="32" xfId="0" applyNumberFormat="1" applyFont="1" applyFill="1" applyBorder="1"/>
    <xf numFmtId="0" fontId="31" fillId="0" borderId="41" xfId="0" applyFont="1" applyBorder="1"/>
    <xf numFmtId="2" fontId="30" fillId="0" borderId="7" xfId="0" applyNumberFormat="1" applyFont="1" applyBorder="1" applyAlignment="1">
      <alignment horizontal="center"/>
    </xf>
    <xf numFmtId="2" fontId="30" fillId="0" borderId="30" xfId="0" applyNumberFormat="1" applyFont="1" applyBorder="1" applyAlignment="1">
      <alignment horizontal="center"/>
    </xf>
    <xf numFmtId="2" fontId="0" fillId="0" borderId="9" xfId="0" applyNumberFormat="1" applyBorder="1"/>
    <xf numFmtId="14" fontId="0" fillId="0" borderId="0" xfId="0" applyNumberFormat="1"/>
    <xf numFmtId="43" fontId="4" fillId="5" borderId="12" xfId="1" applyFont="1" applyFill="1" applyBorder="1" applyAlignment="1"/>
    <xf numFmtId="2" fontId="0" fillId="0" borderId="26" xfId="0" applyNumberFormat="1" applyBorder="1" applyAlignment="1">
      <alignment horizontal="center"/>
    </xf>
    <xf numFmtId="2" fontId="15" fillId="0" borderId="51" xfId="0" applyNumberFormat="1" applyFont="1" applyBorder="1"/>
    <xf numFmtId="2" fontId="0" fillId="0" borderId="35" xfId="0" applyNumberFormat="1" applyBorder="1"/>
    <xf numFmtId="0" fontId="19" fillId="4" borderId="38" xfId="0" applyFont="1" applyFill="1" applyBorder="1"/>
    <xf numFmtId="0" fontId="0" fillId="0" borderId="39" xfId="0" applyBorder="1"/>
    <xf numFmtId="2" fontId="0" fillId="0" borderId="39" xfId="0" applyNumberFormat="1" applyBorder="1" applyAlignment="1">
      <alignment horizontal="center"/>
    </xf>
    <xf numFmtId="2" fontId="15" fillId="0" borderId="39" xfId="0" applyNumberFormat="1" applyFon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0" fontId="4" fillId="0" borderId="29" xfId="0" applyFont="1" applyBorder="1"/>
    <xf numFmtId="0" fontId="0" fillId="0" borderId="7" xfId="0" applyBorder="1"/>
    <xf numFmtId="2" fontId="15" fillId="0" borderId="7" xfId="0" applyNumberFormat="1" applyFon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15" fillId="0" borderId="60" xfId="0" applyNumberFormat="1" applyFont="1" applyBorder="1"/>
    <xf numFmtId="2" fontId="0" fillId="0" borderId="42" xfId="0" applyNumberFormat="1" applyBorder="1"/>
    <xf numFmtId="0" fontId="0" fillId="0" borderId="60" xfId="0" applyBorder="1"/>
    <xf numFmtId="14" fontId="0" fillId="0" borderId="41" xfId="0" applyNumberFormat="1" applyBorder="1"/>
    <xf numFmtId="14" fontId="19" fillId="5" borderId="41" xfId="1" applyNumberFormat="1" applyFont="1" applyFill="1" applyBorder="1" applyAlignment="1"/>
    <xf numFmtId="2" fontId="0" fillId="0" borderId="41" xfId="0" applyNumberFormat="1" applyBorder="1" applyAlignment="1">
      <alignment horizontal="center"/>
    </xf>
    <xf numFmtId="2" fontId="15" fillId="0" borderId="41" xfId="0" applyNumberFormat="1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0" fontId="19" fillId="0" borderId="32" xfId="0" applyFont="1" applyBorder="1"/>
    <xf numFmtId="43" fontId="4" fillId="5" borderId="27" xfId="1" applyFont="1" applyFill="1" applyBorder="1" applyAlignment="1"/>
    <xf numFmtId="43" fontId="7" fillId="5" borderId="27" xfId="1" applyFont="1" applyFill="1" applyBorder="1" applyAlignment="1"/>
    <xf numFmtId="0" fontId="0" fillId="0" borderId="61" xfId="0" applyBorder="1"/>
    <xf numFmtId="14" fontId="4" fillId="0" borderId="62" xfId="0" applyNumberFormat="1" applyFont="1" applyBorder="1"/>
    <xf numFmtId="43" fontId="4" fillId="5" borderId="53" xfId="1" applyFont="1" applyFill="1" applyBorder="1" applyAlignment="1"/>
    <xf numFmtId="2" fontId="0" fillId="0" borderId="63" xfId="0" applyNumberFormat="1" applyBorder="1" applyAlignment="1">
      <alignment horizontal="center"/>
    </xf>
    <xf numFmtId="0" fontId="15" fillId="0" borderId="64" xfId="0" applyFont="1" applyBorder="1"/>
    <xf numFmtId="0" fontId="0" fillId="0" borderId="65" xfId="0" applyBorder="1"/>
    <xf numFmtId="0" fontId="4" fillId="2" borderId="32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5" borderId="27" xfId="0" applyFont="1" applyFill="1" applyBorder="1"/>
    <xf numFmtId="0" fontId="0" fillId="0" borderId="27" xfId="0" applyBorder="1"/>
    <xf numFmtId="0" fontId="15" fillId="0" borderId="33" xfId="0" applyFont="1" applyBorder="1"/>
    <xf numFmtId="0" fontId="0" fillId="0" borderId="66" xfId="0" applyBorder="1"/>
    <xf numFmtId="0" fontId="0" fillId="0" borderId="29" xfId="0" applyBorder="1"/>
    <xf numFmtId="0" fontId="0" fillId="5" borderId="7" xfId="0" applyFill="1" applyBorder="1"/>
    <xf numFmtId="0" fontId="32" fillId="0" borderId="26" xfId="0" applyFont="1" applyBorder="1"/>
    <xf numFmtId="0" fontId="6" fillId="5" borderId="27" xfId="0" applyFont="1" applyFill="1" applyBorder="1"/>
    <xf numFmtId="2" fontId="24" fillId="0" borderId="33" xfId="0" applyNumberFormat="1" applyFont="1" applyBorder="1"/>
    <xf numFmtId="0" fontId="0" fillId="5" borderId="27" xfId="0" applyFill="1" applyBorder="1"/>
    <xf numFmtId="2" fontId="15" fillId="2" borderId="33" xfId="0" applyNumberFormat="1" applyFont="1" applyFill="1" applyBorder="1" applyAlignment="1">
      <alignment horizontal="center"/>
    </xf>
    <xf numFmtId="2" fontId="0" fillId="2" borderId="65" xfId="0" applyNumberFormat="1" applyFill="1" applyBorder="1" applyAlignment="1">
      <alignment horizontal="center"/>
    </xf>
    <xf numFmtId="0" fontId="0" fillId="0" borderId="38" xfId="0" applyBorder="1"/>
    <xf numFmtId="0" fontId="0" fillId="5" borderId="39" xfId="0" applyFill="1" applyBorder="1"/>
    <xf numFmtId="2" fontId="12" fillId="0" borderId="39" xfId="0" applyNumberFormat="1" applyFont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4" fontId="0" fillId="4" borderId="7" xfId="0" applyNumberFormat="1" applyFill="1" applyBorder="1"/>
    <xf numFmtId="2" fontId="34" fillId="0" borderId="7" xfId="0" applyNumberFormat="1" applyFont="1" applyBorder="1" applyAlignment="1">
      <alignment horizontal="center"/>
    </xf>
    <xf numFmtId="2" fontId="34" fillId="5" borderId="7" xfId="0" applyNumberFormat="1" applyFont="1" applyFill="1" applyBorder="1" applyAlignment="1">
      <alignment horizontal="center"/>
    </xf>
    <xf numFmtId="2" fontId="34" fillId="0" borderId="30" xfId="0" applyNumberFormat="1" applyFont="1" applyBorder="1" applyAlignment="1">
      <alignment horizontal="center"/>
    </xf>
    <xf numFmtId="0" fontId="0" fillId="0" borderId="12" xfId="0" applyBorder="1"/>
    <xf numFmtId="0" fontId="0" fillId="5" borderId="12" xfId="0" applyFill="1" applyBorder="1"/>
    <xf numFmtId="2" fontId="34" fillId="0" borderId="8" xfId="0" applyNumberFormat="1" applyFont="1" applyBorder="1" applyAlignment="1">
      <alignment horizontal="center"/>
    </xf>
    <xf numFmtId="2" fontId="34" fillId="0" borderId="67" xfId="0" applyNumberFormat="1" applyFont="1" applyBorder="1" applyAlignment="1">
      <alignment horizontal="center"/>
    </xf>
    <xf numFmtId="0" fontId="5" fillId="0" borderId="60" xfId="0" applyFont="1" applyBorder="1"/>
    <xf numFmtId="0" fontId="5" fillId="0" borderId="41" xfId="0" applyFont="1" applyBorder="1"/>
    <xf numFmtId="0" fontId="5" fillId="5" borderId="41" xfId="0" applyFont="1" applyFill="1" applyBorder="1"/>
    <xf numFmtId="2" fontId="5" fillId="0" borderId="41" xfId="0" applyNumberFormat="1" applyFont="1" applyBorder="1"/>
    <xf numFmtId="0" fontId="0" fillId="5" borderId="0" xfId="0" applyFill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rix%20de%20revient%20salarial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cotisations 2019"/>
      <sheetName val="Charges 2019"/>
      <sheetName val="PR 2019"/>
      <sheetName val="Interim 2019"/>
      <sheetName val="Interim 2020"/>
      <sheetName val="PR 2022"/>
    </sheetNames>
    <sheetDataSet>
      <sheetData sheetId="0">
        <row r="4">
          <cell r="I4">
            <v>2.7930000000000001</v>
          </cell>
        </row>
        <row r="8">
          <cell r="I8">
            <v>4.2129999999999992</v>
          </cell>
        </row>
        <row r="12">
          <cell r="I12">
            <v>4.1430000000000007</v>
          </cell>
        </row>
        <row r="17">
          <cell r="I17">
            <v>2.3167200000000001</v>
          </cell>
        </row>
        <row r="21">
          <cell r="I21">
            <v>3.73672</v>
          </cell>
        </row>
        <row r="25">
          <cell r="I25">
            <v>3.6667200000000002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6"/>
  <sheetViews>
    <sheetView tabSelected="1" workbookViewId="0">
      <selection activeCell="B1" sqref="B1:G29"/>
    </sheetView>
  </sheetViews>
  <sheetFormatPr baseColWidth="10" defaultRowHeight="15" x14ac:dyDescent="0.25"/>
  <cols>
    <col min="4" max="4" width="16.85546875" customWidth="1"/>
  </cols>
  <sheetData>
    <row r="1" spans="2:7" ht="15.75" thickBot="1" x14ac:dyDescent="0.3"/>
    <row r="2" spans="2:7" ht="20.25" x14ac:dyDescent="0.3">
      <c r="B2" s="22" t="s">
        <v>20</v>
      </c>
      <c r="C2" s="23"/>
      <c r="D2" s="23"/>
      <c r="E2" s="23"/>
      <c r="F2" s="23"/>
      <c r="G2" s="24"/>
    </row>
    <row r="3" spans="2:7" x14ac:dyDescent="0.25">
      <c r="B3" s="28" t="s">
        <v>18</v>
      </c>
      <c r="C3" s="29"/>
      <c r="D3" s="29"/>
      <c r="E3" s="29"/>
      <c r="F3" s="29"/>
      <c r="G3" s="30"/>
    </row>
    <row r="4" spans="2:7" x14ac:dyDescent="0.25">
      <c r="B4" s="11"/>
      <c r="C4" s="12"/>
      <c r="D4" s="25" t="s">
        <v>1</v>
      </c>
      <c r="E4" s="26"/>
      <c r="F4" s="26"/>
      <c r="G4" s="27"/>
    </row>
    <row r="5" spans="2:7" x14ac:dyDescent="0.25">
      <c r="B5" s="31" t="s">
        <v>2</v>
      </c>
      <c r="C5" s="32"/>
      <c r="D5" s="33">
        <v>60</v>
      </c>
      <c r="E5" s="34"/>
      <c r="F5" s="34"/>
      <c r="G5" s="35"/>
    </row>
    <row r="6" spans="2:7" x14ac:dyDescent="0.25">
      <c r="B6" s="28" t="s">
        <v>19</v>
      </c>
      <c r="C6" s="29"/>
      <c r="D6" s="29"/>
      <c r="E6" s="29"/>
      <c r="F6" s="29"/>
      <c r="G6" s="30"/>
    </row>
    <row r="7" spans="2:7" x14ac:dyDescent="0.25">
      <c r="B7" s="11"/>
      <c r="C7" s="12"/>
      <c r="D7" s="25" t="s">
        <v>1</v>
      </c>
      <c r="E7" s="26"/>
      <c r="F7" s="26"/>
      <c r="G7" s="27"/>
    </row>
    <row r="8" spans="2:7" x14ac:dyDescent="0.25">
      <c r="B8" s="31" t="s">
        <v>2</v>
      </c>
      <c r="C8" s="32"/>
      <c r="D8" s="33">
        <v>50</v>
      </c>
      <c r="E8" s="34"/>
      <c r="F8" s="34"/>
      <c r="G8" s="35"/>
    </row>
    <row r="9" spans="2:7" x14ac:dyDescent="0.25">
      <c r="B9" s="28" t="s">
        <v>17</v>
      </c>
      <c r="C9" s="29"/>
      <c r="D9" s="29"/>
      <c r="E9" s="29"/>
      <c r="F9" s="29"/>
      <c r="G9" s="30"/>
    </row>
    <row r="10" spans="2:7" x14ac:dyDescent="0.25">
      <c r="B10" s="11"/>
      <c r="C10" s="12"/>
      <c r="D10" s="25" t="s">
        <v>1</v>
      </c>
      <c r="E10" s="26"/>
      <c r="F10" s="26"/>
      <c r="G10" s="27"/>
    </row>
    <row r="11" spans="2:7" ht="15.75" thickBot="1" x14ac:dyDescent="0.3">
      <c r="B11" s="17" t="s">
        <v>2</v>
      </c>
      <c r="C11" s="18"/>
      <c r="D11" s="19">
        <v>30</v>
      </c>
      <c r="E11" s="20"/>
      <c r="F11" s="20"/>
      <c r="G11" s="21"/>
    </row>
    <row r="12" spans="2:7" ht="15.75" thickBot="1" x14ac:dyDescent="0.3"/>
    <row r="13" spans="2:7" ht="20.25" x14ac:dyDescent="0.3">
      <c r="B13" s="22" t="s">
        <v>20</v>
      </c>
      <c r="C13" s="23"/>
      <c r="D13" s="23"/>
      <c r="E13" s="23"/>
      <c r="F13" s="23"/>
      <c r="G13" s="24"/>
    </row>
    <row r="14" spans="2:7" x14ac:dyDescent="0.25">
      <c r="B14" s="28" t="s">
        <v>0</v>
      </c>
      <c r="C14" s="29"/>
      <c r="D14" s="29"/>
      <c r="E14" s="29"/>
      <c r="F14" s="29"/>
      <c r="G14" s="30"/>
    </row>
    <row r="15" spans="2:7" x14ac:dyDescent="0.25">
      <c r="B15" s="11"/>
      <c r="C15" s="12"/>
      <c r="D15" s="25" t="s">
        <v>1</v>
      </c>
      <c r="E15" s="26"/>
      <c r="F15" s="26"/>
      <c r="G15" s="27"/>
    </row>
    <row r="16" spans="2:7" x14ac:dyDescent="0.25">
      <c r="B16" s="31" t="s">
        <v>2</v>
      </c>
      <c r="C16" s="32"/>
      <c r="D16" s="33">
        <v>60</v>
      </c>
      <c r="E16" s="34"/>
      <c r="F16" s="34"/>
      <c r="G16" s="35"/>
    </row>
    <row r="17" spans="2:7" x14ac:dyDescent="0.25">
      <c r="B17" s="28" t="s">
        <v>17</v>
      </c>
      <c r="C17" s="29"/>
      <c r="D17" s="29"/>
      <c r="E17" s="29"/>
      <c r="F17" s="29"/>
      <c r="G17" s="30"/>
    </row>
    <row r="18" spans="2:7" x14ac:dyDescent="0.25">
      <c r="B18" s="11"/>
      <c r="C18" s="12"/>
      <c r="D18" s="25" t="s">
        <v>1</v>
      </c>
      <c r="E18" s="26"/>
      <c r="F18" s="26"/>
      <c r="G18" s="27"/>
    </row>
    <row r="19" spans="2:7" ht="15.75" thickBot="1" x14ac:dyDescent="0.3">
      <c r="B19" s="17" t="s">
        <v>2</v>
      </c>
      <c r="C19" s="18"/>
      <c r="D19" s="19">
        <v>30</v>
      </c>
      <c r="E19" s="20"/>
      <c r="F19" s="20"/>
      <c r="G19" s="21"/>
    </row>
    <row r="20" spans="2:7" ht="15.75" thickBot="1" x14ac:dyDescent="0.3"/>
    <row r="21" spans="2:7" ht="16.5" thickTop="1" thickBot="1" x14ac:dyDescent="0.3">
      <c r="B21" s="1"/>
      <c r="C21" s="13" t="s">
        <v>3</v>
      </c>
      <c r="D21" s="13"/>
      <c r="E21" s="2" t="s">
        <v>4</v>
      </c>
      <c r="F21" s="3" t="s">
        <v>5</v>
      </c>
      <c r="G21" s="4" t="s">
        <v>6</v>
      </c>
    </row>
    <row r="22" spans="2:7" ht="21" customHeight="1" thickTop="1" thickBot="1" x14ac:dyDescent="0.3">
      <c r="B22" s="5" t="s">
        <v>7</v>
      </c>
      <c r="C22" s="14" t="s">
        <v>8</v>
      </c>
      <c r="D22" s="14"/>
      <c r="E22" s="6">
        <v>30</v>
      </c>
      <c r="F22" s="7">
        <f>E22*10/100</f>
        <v>3</v>
      </c>
      <c r="G22" s="7">
        <f>E22+F22</f>
        <v>33</v>
      </c>
    </row>
    <row r="23" spans="2:7" ht="72.75" customHeight="1" thickTop="1" thickBot="1" x14ac:dyDescent="0.3">
      <c r="B23" s="8" t="s">
        <v>9</v>
      </c>
      <c r="C23" s="15" t="s">
        <v>10</v>
      </c>
      <c r="D23" s="15"/>
      <c r="E23" s="8">
        <v>33</v>
      </c>
      <c r="F23" s="9">
        <f>E23*10/100</f>
        <v>3.3</v>
      </c>
      <c r="G23" s="7">
        <f t="shared" ref="G23:G26" si="0">E23+F23</f>
        <v>36.299999999999997</v>
      </c>
    </row>
    <row r="24" spans="2:7" ht="48" customHeight="1" thickTop="1" thickBot="1" x14ac:dyDescent="0.3">
      <c r="B24" s="5" t="s">
        <v>11</v>
      </c>
      <c r="C24" s="15" t="s">
        <v>12</v>
      </c>
      <c r="D24" s="15"/>
      <c r="E24" s="5">
        <v>38</v>
      </c>
      <c r="F24" s="10">
        <f>E24*10/100</f>
        <v>3.8</v>
      </c>
      <c r="G24" s="7">
        <f t="shared" si="0"/>
        <v>41.8</v>
      </c>
    </row>
    <row r="25" spans="2:7" ht="58.5" customHeight="1" thickTop="1" thickBot="1" x14ac:dyDescent="0.3">
      <c r="B25" s="8" t="s">
        <v>13</v>
      </c>
      <c r="C25" s="15" t="s">
        <v>14</v>
      </c>
      <c r="D25" s="15"/>
      <c r="E25" s="8">
        <v>40</v>
      </c>
      <c r="F25" s="9">
        <f>E25*10/100</f>
        <v>4</v>
      </c>
      <c r="G25" s="7">
        <f t="shared" si="0"/>
        <v>44</v>
      </c>
    </row>
    <row r="26" spans="2:7" ht="18.75" customHeight="1" thickTop="1" x14ac:dyDescent="0.25">
      <c r="B26" s="5" t="s">
        <v>15</v>
      </c>
      <c r="C26" s="16" t="s">
        <v>16</v>
      </c>
      <c r="D26" s="16"/>
      <c r="E26" s="5">
        <v>46</v>
      </c>
      <c r="F26" s="10">
        <f>E26*10/100</f>
        <v>4.5999999999999996</v>
      </c>
      <c r="G26" s="7">
        <f t="shared" si="0"/>
        <v>50.6</v>
      </c>
    </row>
  </sheetData>
  <mergeCells count="33">
    <mergeCell ref="B3:G3"/>
    <mergeCell ref="D5:G5"/>
    <mergeCell ref="B4:C4"/>
    <mergeCell ref="B17:G17"/>
    <mergeCell ref="D18:G18"/>
    <mergeCell ref="B15:C15"/>
    <mergeCell ref="B5:C5"/>
    <mergeCell ref="D8:G8"/>
    <mergeCell ref="B7:C7"/>
    <mergeCell ref="B8:C8"/>
    <mergeCell ref="B10:C10"/>
    <mergeCell ref="B11:C11"/>
    <mergeCell ref="C25:D25"/>
    <mergeCell ref="C26:D26"/>
    <mergeCell ref="B19:C19"/>
    <mergeCell ref="D19:G19"/>
    <mergeCell ref="B2:G2"/>
    <mergeCell ref="D4:G4"/>
    <mergeCell ref="B6:G6"/>
    <mergeCell ref="D7:G7"/>
    <mergeCell ref="B9:G9"/>
    <mergeCell ref="D10:G10"/>
    <mergeCell ref="D11:G11"/>
    <mergeCell ref="B13:G13"/>
    <mergeCell ref="B14:G14"/>
    <mergeCell ref="D15:G15"/>
    <mergeCell ref="B16:C16"/>
    <mergeCell ref="D16:G16"/>
    <mergeCell ref="B18:C18"/>
    <mergeCell ref="C21:D21"/>
    <mergeCell ref="C22:D22"/>
    <mergeCell ref="C23:D23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4"/>
  <sheetViews>
    <sheetView workbookViewId="0">
      <selection sqref="A1:XFD1048576"/>
    </sheetView>
  </sheetViews>
  <sheetFormatPr baseColWidth="10" defaultRowHeight="15" x14ac:dyDescent="0.25"/>
  <cols>
    <col min="1" max="1" width="29.140625" customWidth="1"/>
    <col min="3" max="3" width="12" style="243" bestFit="1" customWidth="1"/>
    <col min="4" max="6" width="13" bestFit="1" customWidth="1"/>
    <col min="14" max="14" width="11.5703125" bestFit="1" customWidth="1"/>
    <col min="257" max="257" width="29.140625" customWidth="1"/>
    <col min="259" max="259" width="12" bestFit="1" customWidth="1"/>
    <col min="260" max="262" width="13" bestFit="1" customWidth="1"/>
    <col min="270" max="270" width="11.5703125" bestFit="1" customWidth="1"/>
    <col min="513" max="513" width="29.140625" customWidth="1"/>
    <col min="515" max="515" width="12" bestFit="1" customWidth="1"/>
    <col min="516" max="518" width="13" bestFit="1" customWidth="1"/>
    <col min="526" max="526" width="11.5703125" bestFit="1" customWidth="1"/>
    <col min="769" max="769" width="29.140625" customWidth="1"/>
    <col min="771" max="771" width="12" bestFit="1" customWidth="1"/>
    <col min="772" max="774" width="13" bestFit="1" customWidth="1"/>
    <col min="782" max="782" width="11.5703125" bestFit="1" customWidth="1"/>
    <col min="1025" max="1025" width="29.140625" customWidth="1"/>
    <col min="1027" max="1027" width="12" bestFit="1" customWidth="1"/>
    <col min="1028" max="1030" width="13" bestFit="1" customWidth="1"/>
    <col min="1038" max="1038" width="11.5703125" bestFit="1" customWidth="1"/>
    <col min="1281" max="1281" width="29.140625" customWidth="1"/>
    <col min="1283" max="1283" width="12" bestFit="1" customWidth="1"/>
    <col min="1284" max="1286" width="13" bestFit="1" customWidth="1"/>
    <col min="1294" max="1294" width="11.5703125" bestFit="1" customWidth="1"/>
    <col min="1537" max="1537" width="29.140625" customWidth="1"/>
    <col min="1539" max="1539" width="12" bestFit="1" customWidth="1"/>
    <col min="1540" max="1542" width="13" bestFit="1" customWidth="1"/>
    <col min="1550" max="1550" width="11.5703125" bestFit="1" customWidth="1"/>
    <col min="1793" max="1793" width="29.140625" customWidth="1"/>
    <col min="1795" max="1795" width="12" bestFit="1" customWidth="1"/>
    <col min="1796" max="1798" width="13" bestFit="1" customWidth="1"/>
    <col min="1806" max="1806" width="11.5703125" bestFit="1" customWidth="1"/>
    <col min="2049" max="2049" width="29.140625" customWidth="1"/>
    <col min="2051" max="2051" width="12" bestFit="1" customWidth="1"/>
    <col min="2052" max="2054" width="13" bestFit="1" customWidth="1"/>
    <col min="2062" max="2062" width="11.5703125" bestFit="1" customWidth="1"/>
    <col min="2305" max="2305" width="29.140625" customWidth="1"/>
    <col min="2307" max="2307" width="12" bestFit="1" customWidth="1"/>
    <col min="2308" max="2310" width="13" bestFit="1" customWidth="1"/>
    <col min="2318" max="2318" width="11.5703125" bestFit="1" customWidth="1"/>
    <col min="2561" max="2561" width="29.140625" customWidth="1"/>
    <col min="2563" max="2563" width="12" bestFit="1" customWidth="1"/>
    <col min="2564" max="2566" width="13" bestFit="1" customWidth="1"/>
    <col min="2574" max="2574" width="11.5703125" bestFit="1" customWidth="1"/>
    <col min="2817" max="2817" width="29.140625" customWidth="1"/>
    <col min="2819" max="2819" width="12" bestFit="1" customWidth="1"/>
    <col min="2820" max="2822" width="13" bestFit="1" customWidth="1"/>
    <col min="2830" max="2830" width="11.5703125" bestFit="1" customWidth="1"/>
    <col min="3073" max="3073" width="29.140625" customWidth="1"/>
    <col min="3075" max="3075" width="12" bestFit="1" customWidth="1"/>
    <col min="3076" max="3078" width="13" bestFit="1" customWidth="1"/>
    <col min="3086" max="3086" width="11.5703125" bestFit="1" customWidth="1"/>
    <col min="3329" max="3329" width="29.140625" customWidth="1"/>
    <col min="3331" max="3331" width="12" bestFit="1" customWidth="1"/>
    <col min="3332" max="3334" width="13" bestFit="1" customWidth="1"/>
    <col min="3342" max="3342" width="11.5703125" bestFit="1" customWidth="1"/>
    <col min="3585" max="3585" width="29.140625" customWidth="1"/>
    <col min="3587" max="3587" width="12" bestFit="1" customWidth="1"/>
    <col min="3588" max="3590" width="13" bestFit="1" customWidth="1"/>
    <col min="3598" max="3598" width="11.5703125" bestFit="1" customWidth="1"/>
    <col min="3841" max="3841" width="29.140625" customWidth="1"/>
    <col min="3843" max="3843" width="12" bestFit="1" customWidth="1"/>
    <col min="3844" max="3846" width="13" bestFit="1" customWidth="1"/>
    <col min="3854" max="3854" width="11.5703125" bestFit="1" customWidth="1"/>
    <col min="4097" max="4097" width="29.140625" customWidth="1"/>
    <col min="4099" max="4099" width="12" bestFit="1" customWidth="1"/>
    <col min="4100" max="4102" width="13" bestFit="1" customWidth="1"/>
    <col min="4110" max="4110" width="11.5703125" bestFit="1" customWidth="1"/>
    <col min="4353" max="4353" width="29.140625" customWidth="1"/>
    <col min="4355" max="4355" width="12" bestFit="1" customWidth="1"/>
    <col min="4356" max="4358" width="13" bestFit="1" customWidth="1"/>
    <col min="4366" max="4366" width="11.5703125" bestFit="1" customWidth="1"/>
    <col min="4609" max="4609" width="29.140625" customWidth="1"/>
    <col min="4611" max="4611" width="12" bestFit="1" customWidth="1"/>
    <col min="4612" max="4614" width="13" bestFit="1" customWidth="1"/>
    <col min="4622" max="4622" width="11.5703125" bestFit="1" customWidth="1"/>
    <col min="4865" max="4865" width="29.140625" customWidth="1"/>
    <col min="4867" max="4867" width="12" bestFit="1" customWidth="1"/>
    <col min="4868" max="4870" width="13" bestFit="1" customWidth="1"/>
    <col min="4878" max="4878" width="11.5703125" bestFit="1" customWidth="1"/>
    <col min="5121" max="5121" width="29.140625" customWidth="1"/>
    <col min="5123" max="5123" width="12" bestFit="1" customWidth="1"/>
    <col min="5124" max="5126" width="13" bestFit="1" customWidth="1"/>
    <col min="5134" max="5134" width="11.5703125" bestFit="1" customWidth="1"/>
    <col min="5377" max="5377" width="29.140625" customWidth="1"/>
    <col min="5379" max="5379" width="12" bestFit="1" customWidth="1"/>
    <col min="5380" max="5382" width="13" bestFit="1" customWidth="1"/>
    <col min="5390" max="5390" width="11.5703125" bestFit="1" customWidth="1"/>
    <col min="5633" max="5633" width="29.140625" customWidth="1"/>
    <col min="5635" max="5635" width="12" bestFit="1" customWidth="1"/>
    <col min="5636" max="5638" width="13" bestFit="1" customWidth="1"/>
    <col min="5646" max="5646" width="11.5703125" bestFit="1" customWidth="1"/>
    <col min="5889" max="5889" width="29.140625" customWidth="1"/>
    <col min="5891" max="5891" width="12" bestFit="1" customWidth="1"/>
    <col min="5892" max="5894" width="13" bestFit="1" customWidth="1"/>
    <col min="5902" max="5902" width="11.5703125" bestFit="1" customWidth="1"/>
    <col min="6145" max="6145" width="29.140625" customWidth="1"/>
    <col min="6147" max="6147" width="12" bestFit="1" customWidth="1"/>
    <col min="6148" max="6150" width="13" bestFit="1" customWidth="1"/>
    <col min="6158" max="6158" width="11.5703125" bestFit="1" customWidth="1"/>
    <col min="6401" max="6401" width="29.140625" customWidth="1"/>
    <col min="6403" max="6403" width="12" bestFit="1" customWidth="1"/>
    <col min="6404" max="6406" width="13" bestFit="1" customWidth="1"/>
    <col min="6414" max="6414" width="11.5703125" bestFit="1" customWidth="1"/>
    <col min="6657" max="6657" width="29.140625" customWidth="1"/>
    <col min="6659" max="6659" width="12" bestFit="1" customWidth="1"/>
    <col min="6660" max="6662" width="13" bestFit="1" customWidth="1"/>
    <col min="6670" max="6670" width="11.5703125" bestFit="1" customWidth="1"/>
    <col min="6913" max="6913" width="29.140625" customWidth="1"/>
    <col min="6915" max="6915" width="12" bestFit="1" customWidth="1"/>
    <col min="6916" max="6918" width="13" bestFit="1" customWidth="1"/>
    <col min="6926" max="6926" width="11.5703125" bestFit="1" customWidth="1"/>
    <col min="7169" max="7169" width="29.140625" customWidth="1"/>
    <col min="7171" max="7171" width="12" bestFit="1" customWidth="1"/>
    <col min="7172" max="7174" width="13" bestFit="1" customWidth="1"/>
    <col min="7182" max="7182" width="11.5703125" bestFit="1" customWidth="1"/>
    <col min="7425" max="7425" width="29.140625" customWidth="1"/>
    <col min="7427" max="7427" width="12" bestFit="1" customWidth="1"/>
    <col min="7428" max="7430" width="13" bestFit="1" customWidth="1"/>
    <col min="7438" max="7438" width="11.5703125" bestFit="1" customWidth="1"/>
    <col min="7681" max="7681" width="29.140625" customWidth="1"/>
    <col min="7683" max="7683" width="12" bestFit="1" customWidth="1"/>
    <col min="7684" max="7686" width="13" bestFit="1" customWidth="1"/>
    <col min="7694" max="7694" width="11.5703125" bestFit="1" customWidth="1"/>
    <col min="7937" max="7937" width="29.140625" customWidth="1"/>
    <col min="7939" max="7939" width="12" bestFit="1" customWidth="1"/>
    <col min="7940" max="7942" width="13" bestFit="1" customWidth="1"/>
    <col min="7950" max="7950" width="11.5703125" bestFit="1" customWidth="1"/>
    <col min="8193" max="8193" width="29.140625" customWidth="1"/>
    <col min="8195" max="8195" width="12" bestFit="1" customWidth="1"/>
    <col min="8196" max="8198" width="13" bestFit="1" customWidth="1"/>
    <col min="8206" max="8206" width="11.5703125" bestFit="1" customWidth="1"/>
    <col min="8449" max="8449" width="29.140625" customWidth="1"/>
    <col min="8451" max="8451" width="12" bestFit="1" customWidth="1"/>
    <col min="8452" max="8454" width="13" bestFit="1" customWidth="1"/>
    <col min="8462" max="8462" width="11.5703125" bestFit="1" customWidth="1"/>
    <col min="8705" max="8705" width="29.140625" customWidth="1"/>
    <col min="8707" max="8707" width="12" bestFit="1" customWidth="1"/>
    <col min="8708" max="8710" width="13" bestFit="1" customWidth="1"/>
    <col min="8718" max="8718" width="11.5703125" bestFit="1" customWidth="1"/>
    <col min="8961" max="8961" width="29.140625" customWidth="1"/>
    <col min="8963" max="8963" width="12" bestFit="1" customWidth="1"/>
    <col min="8964" max="8966" width="13" bestFit="1" customWidth="1"/>
    <col min="8974" max="8974" width="11.5703125" bestFit="1" customWidth="1"/>
    <col min="9217" max="9217" width="29.140625" customWidth="1"/>
    <col min="9219" max="9219" width="12" bestFit="1" customWidth="1"/>
    <col min="9220" max="9222" width="13" bestFit="1" customWidth="1"/>
    <col min="9230" max="9230" width="11.5703125" bestFit="1" customWidth="1"/>
    <col min="9473" max="9473" width="29.140625" customWidth="1"/>
    <col min="9475" max="9475" width="12" bestFit="1" customWidth="1"/>
    <col min="9476" max="9478" width="13" bestFit="1" customWidth="1"/>
    <col min="9486" max="9486" width="11.5703125" bestFit="1" customWidth="1"/>
    <col min="9729" max="9729" width="29.140625" customWidth="1"/>
    <col min="9731" max="9731" width="12" bestFit="1" customWidth="1"/>
    <col min="9732" max="9734" width="13" bestFit="1" customWidth="1"/>
    <col min="9742" max="9742" width="11.5703125" bestFit="1" customWidth="1"/>
    <col min="9985" max="9985" width="29.140625" customWidth="1"/>
    <col min="9987" max="9987" width="12" bestFit="1" customWidth="1"/>
    <col min="9988" max="9990" width="13" bestFit="1" customWidth="1"/>
    <col min="9998" max="9998" width="11.5703125" bestFit="1" customWidth="1"/>
    <col min="10241" max="10241" width="29.140625" customWidth="1"/>
    <col min="10243" max="10243" width="12" bestFit="1" customWidth="1"/>
    <col min="10244" max="10246" width="13" bestFit="1" customWidth="1"/>
    <col min="10254" max="10254" width="11.5703125" bestFit="1" customWidth="1"/>
    <col min="10497" max="10497" width="29.140625" customWidth="1"/>
    <col min="10499" max="10499" width="12" bestFit="1" customWidth="1"/>
    <col min="10500" max="10502" width="13" bestFit="1" customWidth="1"/>
    <col min="10510" max="10510" width="11.5703125" bestFit="1" customWidth="1"/>
    <col min="10753" max="10753" width="29.140625" customWidth="1"/>
    <col min="10755" max="10755" width="12" bestFit="1" customWidth="1"/>
    <col min="10756" max="10758" width="13" bestFit="1" customWidth="1"/>
    <col min="10766" max="10766" width="11.5703125" bestFit="1" customWidth="1"/>
    <col min="11009" max="11009" width="29.140625" customWidth="1"/>
    <col min="11011" max="11011" width="12" bestFit="1" customWidth="1"/>
    <col min="11012" max="11014" width="13" bestFit="1" customWidth="1"/>
    <col min="11022" max="11022" width="11.5703125" bestFit="1" customWidth="1"/>
    <col min="11265" max="11265" width="29.140625" customWidth="1"/>
    <col min="11267" max="11267" width="12" bestFit="1" customWidth="1"/>
    <col min="11268" max="11270" width="13" bestFit="1" customWidth="1"/>
    <col min="11278" max="11278" width="11.5703125" bestFit="1" customWidth="1"/>
    <col min="11521" max="11521" width="29.140625" customWidth="1"/>
    <col min="11523" max="11523" width="12" bestFit="1" customWidth="1"/>
    <col min="11524" max="11526" width="13" bestFit="1" customWidth="1"/>
    <col min="11534" max="11534" width="11.5703125" bestFit="1" customWidth="1"/>
    <col min="11777" max="11777" width="29.140625" customWidth="1"/>
    <col min="11779" max="11779" width="12" bestFit="1" customWidth="1"/>
    <col min="11780" max="11782" width="13" bestFit="1" customWidth="1"/>
    <col min="11790" max="11790" width="11.5703125" bestFit="1" customWidth="1"/>
    <col min="12033" max="12033" width="29.140625" customWidth="1"/>
    <col min="12035" max="12035" width="12" bestFit="1" customWidth="1"/>
    <col min="12036" max="12038" width="13" bestFit="1" customWidth="1"/>
    <col min="12046" max="12046" width="11.5703125" bestFit="1" customWidth="1"/>
    <col min="12289" max="12289" width="29.140625" customWidth="1"/>
    <col min="12291" max="12291" width="12" bestFit="1" customWidth="1"/>
    <col min="12292" max="12294" width="13" bestFit="1" customWidth="1"/>
    <col min="12302" max="12302" width="11.5703125" bestFit="1" customWidth="1"/>
    <col min="12545" max="12545" width="29.140625" customWidth="1"/>
    <col min="12547" max="12547" width="12" bestFit="1" customWidth="1"/>
    <col min="12548" max="12550" width="13" bestFit="1" customWidth="1"/>
    <col min="12558" max="12558" width="11.5703125" bestFit="1" customWidth="1"/>
    <col min="12801" max="12801" width="29.140625" customWidth="1"/>
    <col min="12803" max="12803" width="12" bestFit="1" customWidth="1"/>
    <col min="12804" max="12806" width="13" bestFit="1" customWidth="1"/>
    <col min="12814" max="12814" width="11.5703125" bestFit="1" customWidth="1"/>
    <col min="13057" max="13057" width="29.140625" customWidth="1"/>
    <col min="13059" max="13059" width="12" bestFit="1" customWidth="1"/>
    <col min="13060" max="13062" width="13" bestFit="1" customWidth="1"/>
    <col min="13070" max="13070" width="11.5703125" bestFit="1" customWidth="1"/>
    <col min="13313" max="13313" width="29.140625" customWidth="1"/>
    <col min="13315" max="13315" width="12" bestFit="1" customWidth="1"/>
    <col min="13316" max="13318" width="13" bestFit="1" customWidth="1"/>
    <col min="13326" max="13326" width="11.5703125" bestFit="1" customWidth="1"/>
    <col min="13569" max="13569" width="29.140625" customWidth="1"/>
    <col min="13571" max="13571" width="12" bestFit="1" customWidth="1"/>
    <col min="13572" max="13574" width="13" bestFit="1" customWidth="1"/>
    <col min="13582" max="13582" width="11.5703125" bestFit="1" customWidth="1"/>
    <col min="13825" max="13825" width="29.140625" customWidth="1"/>
    <col min="13827" max="13827" width="12" bestFit="1" customWidth="1"/>
    <col min="13828" max="13830" width="13" bestFit="1" customWidth="1"/>
    <col min="13838" max="13838" width="11.5703125" bestFit="1" customWidth="1"/>
    <col min="14081" max="14081" width="29.140625" customWidth="1"/>
    <col min="14083" max="14083" width="12" bestFit="1" customWidth="1"/>
    <col min="14084" max="14086" width="13" bestFit="1" customWidth="1"/>
    <col min="14094" max="14094" width="11.5703125" bestFit="1" customWidth="1"/>
    <col min="14337" max="14337" width="29.140625" customWidth="1"/>
    <col min="14339" max="14339" width="12" bestFit="1" customWidth="1"/>
    <col min="14340" max="14342" width="13" bestFit="1" customWidth="1"/>
    <col min="14350" max="14350" width="11.5703125" bestFit="1" customWidth="1"/>
    <col min="14593" max="14593" width="29.140625" customWidth="1"/>
    <col min="14595" max="14595" width="12" bestFit="1" customWidth="1"/>
    <col min="14596" max="14598" width="13" bestFit="1" customWidth="1"/>
    <col min="14606" max="14606" width="11.5703125" bestFit="1" customWidth="1"/>
    <col min="14849" max="14849" width="29.140625" customWidth="1"/>
    <col min="14851" max="14851" width="12" bestFit="1" customWidth="1"/>
    <col min="14852" max="14854" width="13" bestFit="1" customWidth="1"/>
    <col min="14862" max="14862" width="11.5703125" bestFit="1" customWidth="1"/>
    <col min="15105" max="15105" width="29.140625" customWidth="1"/>
    <col min="15107" max="15107" width="12" bestFit="1" customWidth="1"/>
    <col min="15108" max="15110" width="13" bestFit="1" customWidth="1"/>
    <col min="15118" max="15118" width="11.5703125" bestFit="1" customWidth="1"/>
    <col min="15361" max="15361" width="29.140625" customWidth="1"/>
    <col min="15363" max="15363" width="12" bestFit="1" customWidth="1"/>
    <col min="15364" max="15366" width="13" bestFit="1" customWidth="1"/>
    <col min="15374" max="15374" width="11.5703125" bestFit="1" customWidth="1"/>
    <col min="15617" max="15617" width="29.140625" customWidth="1"/>
    <col min="15619" max="15619" width="12" bestFit="1" customWidth="1"/>
    <col min="15620" max="15622" width="13" bestFit="1" customWidth="1"/>
    <col min="15630" max="15630" width="11.5703125" bestFit="1" customWidth="1"/>
    <col min="15873" max="15873" width="29.140625" customWidth="1"/>
    <col min="15875" max="15875" width="12" bestFit="1" customWidth="1"/>
    <col min="15876" max="15878" width="13" bestFit="1" customWidth="1"/>
    <col min="15886" max="15886" width="11.5703125" bestFit="1" customWidth="1"/>
    <col min="16129" max="16129" width="29.140625" customWidth="1"/>
    <col min="16131" max="16131" width="12" bestFit="1" customWidth="1"/>
    <col min="16132" max="16134" width="13" bestFit="1" customWidth="1"/>
    <col min="16142" max="16142" width="11.5703125" bestFit="1" customWidth="1"/>
  </cols>
  <sheetData>
    <row r="1" spans="1:6" ht="18.75" thickBot="1" x14ac:dyDescent="0.3">
      <c r="A1" s="36" t="s">
        <v>21</v>
      </c>
      <c r="B1" s="37"/>
      <c r="C1" s="37"/>
      <c r="D1" s="37"/>
      <c r="E1" s="37"/>
      <c r="F1" s="38"/>
    </row>
    <row r="2" spans="1:6" ht="26.25" thickTop="1" x14ac:dyDescent="0.25">
      <c r="A2" s="39" t="s">
        <v>22</v>
      </c>
      <c r="B2" s="40" t="s">
        <v>23</v>
      </c>
      <c r="C2" s="41" t="s">
        <v>24</v>
      </c>
      <c r="D2" s="42" t="s">
        <v>25</v>
      </c>
      <c r="E2" s="43" t="s">
        <v>26</v>
      </c>
      <c r="F2" s="44" t="s">
        <v>27</v>
      </c>
    </row>
    <row r="3" spans="1:6" ht="21" x14ac:dyDescent="0.25">
      <c r="A3" s="45" t="s">
        <v>28</v>
      </c>
      <c r="B3" s="46"/>
      <c r="C3" s="47" t="s">
        <v>29</v>
      </c>
      <c r="D3" s="48">
        <f>'[1]Tableau cotisations 2019'!I4</f>
        <v>2.7930000000000001</v>
      </c>
      <c r="E3" s="49">
        <f>'[1]Tableau cotisations 2019'!I8</f>
        <v>4.2129999999999992</v>
      </c>
      <c r="F3" s="50">
        <f>'[1]Tableau cotisations 2019'!I12</f>
        <v>4.1430000000000007</v>
      </c>
    </row>
    <row r="4" spans="1:6" x14ac:dyDescent="0.25">
      <c r="A4" s="51"/>
      <c r="B4" s="52">
        <v>185</v>
      </c>
      <c r="C4" s="53"/>
      <c r="D4" s="54">
        <f t="shared" ref="D4:D10" si="0">(C4*$D$3)</f>
        <v>0</v>
      </c>
      <c r="E4" s="55">
        <f t="shared" ref="E4:E10" si="1">(C4*$E$3)</f>
        <v>0</v>
      </c>
      <c r="F4" s="56">
        <f t="shared" ref="F4:F10" si="2">(C4*$F$3)</f>
        <v>0</v>
      </c>
    </row>
    <row r="5" spans="1:6" x14ac:dyDescent="0.25">
      <c r="A5" s="51"/>
      <c r="B5" s="52"/>
      <c r="C5" s="53"/>
      <c r="D5" s="54">
        <f t="shared" si="0"/>
        <v>0</v>
      </c>
      <c r="E5" s="55">
        <f t="shared" si="1"/>
        <v>0</v>
      </c>
      <c r="F5" s="56">
        <f t="shared" si="2"/>
        <v>0</v>
      </c>
    </row>
    <row r="6" spans="1:6" x14ac:dyDescent="0.25">
      <c r="A6" s="51" t="s">
        <v>30</v>
      </c>
      <c r="B6" s="52">
        <v>230</v>
      </c>
      <c r="C6" s="53">
        <f>13.15+1.76</f>
        <v>14.91</v>
      </c>
      <c r="D6" s="54">
        <f t="shared" si="0"/>
        <v>41.643630000000002</v>
      </c>
      <c r="E6" s="55">
        <f t="shared" si="1"/>
        <v>62.815829999999991</v>
      </c>
      <c r="F6" s="56">
        <f t="shared" si="2"/>
        <v>61.772130000000011</v>
      </c>
    </row>
    <row r="7" spans="1:6" s="62" customFormat="1" ht="30.75" customHeight="1" x14ac:dyDescent="0.2">
      <c r="A7" s="57" t="s">
        <v>31</v>
      </c>
      <c r="B7" s="58"/>
      <c r="C7" s="59">
        <f>C6+0.45</f>
        <v>15.36</v>
      </c>
      <c r="D7" s="60">
        <f t="shared" si="0"/>
        <v>42.900480000000002</v>
      </c>
      <c r="E7" s="60">
        <f t="shared" si="1"/>
        <v>64.711679999999987</v>
      </c>
      <c r="F7" s="61">
        <f t="shared" si="2"/>
        <v>63.636480000000006</v>
      </c>
    </row>
    <row r="8" spans="1:6" x14ac:dyDescent="0.25">
      <c r="A8" s="51" t="s">
        <v>32</v>
      </c>
      <c r="B8" s="63">
        <v>230</v>
      </c>
      <c r="C8" s="53">
        <f>12.627+1.96+(9.8*16/151.67)</f>
        <v>15.620823432452035</v>
      </c>
      <c r="D8" s="54">
        <f t="shared" si="0"/>
        <v>43.628959846838534</v>
      </c>
      <c r="E8" s="55">
        <f t="shared" si="1"/>
        <v>65.810529120920407</v>
      </c>
      <c r="F8" s="56">
        <f t="shared" si="2"/>
        <v>64.717071480648784</v>
      </c>
    </row>
    <row r="9" spans="1:6" s="62" customFormat="1" ht="19.5" customHeight="1" x14ac:dyDescent="0.2">
      <c r="A9" s="57" t="s">
        <v>33</v>
      </c>
      <c r="B9" s="58"/>
      <c r="C9" s="59"/>
      <c r="D9" s="60">
        <f>(C9*$D$3)</f>
        <v>0</v>
      </c>
      <c r="E9" s="60">
        <f>(C9*$E$3)</f>
        <v>0</v>
      </c>
      <c r="F9" s="61">
        <f>(C9*$F$3)</f>
        <v>0</v>
      </c>
    </row>
    <row r="10" spans="1:6" x14ac:dyDescent="0.25">
      <c r="A10" s="64"/>
      <c r="B10" s="52">
        <v>210</v>
      </c>
      <c r="C10" s="53"/>
      <c r="D10" s="54">
        <f t="shared" si="0"/>
        <v>0</v>
      </c>
      <c r="E10" s="55">
        <f t="shared" si="1"/>
        <v>0</v>
      </c>
      <c r="F10" s="56">
        <f t="shared" si="2"/>
        <v>0</v>
      </c>
    </row>
    <row r="11" spans="1:6" x14ac:dyDescent="0.25">
      <c r="A11" s="65" t="s">
        <v>34</v>
      </c>
      <c r="B11" s="66"/>
      <c r="C11" s="67"/>
      <c r="D11" s="68"/>
      <c r="E11" s="69"/>
      <c r="F11" s="56"/>
    </row>
    <row r="12" spans="1:6" ht="15.75" thickBot="1" x14ac:dyDescent="0.3">
      <c r="A12" s="70" t="s">
        <v>35</v>
      </c>
      <c r="B12" s="71"/>
      <c r="C12" s="72">
        <f>SUM(C4+C5+C6+C8+C10)</f>
        <v>30.530823432452035</v>
      </c>
      <c r="D12" s="68">
        <f>SUM(D4+D5+D6+D8+D10)</f>
        <v>85.272589846838542</v>
      </c>
      <c r="E12" s="68">
        <f>SUM(E4+E5+E6+E8+E10)</f>
        <v>128.6263591209204</v>
      </c>
      <c r="F12" s="68">
        <f>SUM(F4+F5+F6+F8+F10)</f>
        <v>126.4892014806488</v>
      </c>
    </row>
    <row r="13" spans="1:6" ht="15.75" thickBot="1" x14ac:dyDescent="0.3">
      <c r="A13" s="73"/>
      <c r="B13" s="74"/>
      <c r="C13" s="75">
        <f>C12/2</f>
        <v>15.265411716226017</v>
      </c>
      <c r="D13" s="76">
        <f>D12/2</f>
        <v>42.636294923419271</v>
      </c>
      <c r="E13" s="76">
        <f>E12/2</f>
        <v>64.313179560460199</v>
      </c>
      <c r="F13" s="76">
        <f>F12/2</f>
        <v>63.244600740324401</v>
      </c>
    </row>
    <row r="14" spans="1:6" x14ac:dyDescent="0.25">
      <c r="A14" s="77" t="s">
        <v>34</v>
      </c>
      <c r="B14" s="78"/>
      <c r="C14" s="79"/>
      <c r="D14" s="80"/>
      <c r="E14" s="81"/>
      <c r="F14" s="82"/>
    </row>
    <row r="15" spans="1:6" ht="15.75" thickBot="1" x14ac:dyDescent="0.3">
      <c r="A15" s="73" t="s">
        <v>36</v>
      </c>
      <c r="B15" s="78"/>
      <c r="C15" s="72">
        <f>SUM(C4+C7+C8)</f>
        <v>30.980823432452034</v>
      </c>
      <c r="D15" s="68">
        <f>SUM(D4+D7+D8)</f>
        <v>86.529439846838528</v>
      </c>
      <c r="E15" s="68">
        <f>SUM(E4+E7+E8)</f>
        <v>130.52220912092039</v>
      </c>
      <c r="F15" s="83">
        <f>SUM(F4+F6+F8)</f>
        <v>126.4892014806488</v>
      </c>
    </row>
    <row r="16" spans="1:6" s="88" customFormat="1" ht="15.75" thickBot="1" x14ac:dyDescent="0.3">
      <c r="A16" s="84"/>
      <c r="B16" s="85"/>
      <c r="C16" s="86">
        <f>C15/2</f>
        <v>15.490411716226017</v>
      </c>
      <c r="D16" s="87">
        <f>D15/2</f>
        <v>43.264719923419264</v>
      </c>
      <c r="E16" s="87">
        <f>E15/2</f>
        <v>65.261104560460197</v>
      </c>
      <c r="F16" s="87">
        <f>F15/2</f>
        <v>63.244600740324401</v>
      </c>
    </row>
    <row r="17" spans="1:14" ht="16.5" thickTop="1" thickBot="1" x14ac:dyDescent="0.3">
      <c r="A17" s="89" t="s">
        <v>37</v>
      </c>
      <c r="B17" s="90">
        <v>230</v>
      </c>
      <c r="C17" s="91">
        <f>13.436+2.5+(9.8*16/151.67)</f>
        <v>16.969823432452035</v>
      </c>
      <c r="D17" s="92">
        <f>(C17*$D$3)</f>
        <v>47.396716846838537</v>
      </c>
      <c r="E17" s="93">
        <f>(C17*$E$3)</f>
        <v>71.493866120920416</v>
      </c>
      <c r="F17" s="94">
        <f>(C17*$F$3)</f>
        <v>70.30597848064879</v>
      </c>
    </row>
    <row r="18" spans="1:14" s="62" customFormat="1" ht="19.5" customHeight="1" thickBot="1" x14ac:dyDescent="0.25">
      <c r="A18" s="57" t="s">
        <v>33</v>
      </c>
      <c r="B18" s="58"/>
      <c r="C18" s="59"/>
      <c r="D18" s="92">
        <f>(C18*$D$3)</f>
        <v>0</v>
      </c>
      <c r="E18" s="93">
        <f>(C18*$E$3)</f>
        <v>0</v>
      </c>
      <c r="F18" s="94">
        <f>(C18*$F$3)</f>
        <v>0</v>
      </c>
    </row>
    <row r="19" spans="1:14" s="98" customFormat="1" ht="16.5" thickTop="1" thickBot="1" x14ac:dyDescent="0.25">
      <c r="A19" s="89" t="s">
        <v>38</v>
      </c>
      <c r="B19" s="90">
        <v>230</v>
      </c>
      <c r="C19" s="91">
        <v>15.6</v>
      </c>
      <c r="D19" s="95">
        <f>(C19*$D$3)</f>
        <v>43.570799999999998</v>
      </c>
      <c r="E19" s="96">
        <f>(C19*$E$3)</f>
        <v>65.722799999999992</v>
      </c>
      <c r="F19" s="97">
        <f>(C19*$F$3)</f>
        <v>64.630800000000008</v>
      </c>
    </row>
    <row r="20" spans="1:14" x14ac:dyDescent="0.25">
      <c r="A20" s="99" t="s">
        <v>39</v>
      </c>
      <c r="B20" s="100"/>
      <c r="C20" s="101">
        <f>(C17+C19)/2</f>
        <v>16.284911716226016</v>
      </c>
      <c r="D20" s="80">
        <f>D17</f>
        <v>47.396716846838537</v>
      </c>
      <c r="E20" s="80">
        <f>E17</f>
        <v>71.493866120920416</v>
      </c>
      <c r="F20" s="102">
        <f>F17</f>
        <v>70.30597848064879</v>
      </c>
    </row>
    <row r="21" spans="1:14" ht="15.75" thickBot="1" x14ac:dyDescent="0.3">
      <c r="A21" s="103" t="s">
        <v>40</v>
      </c>
      <c r="B21" s="104"/>
      <c r="C21" s="105">
        <f>C20/1</f>
        <v>16.284911716226016</v>
      </c>
      <c r="D21" s="106">
        <f>D20</f>
        <v>47.396716846838537</v>
      </c>
      <c r="E21" s="107">
        <f>E20</f>
        <v>71.493866120920416</v>
      </c>
      <c r="F21" s="108">
        <f>F20</f>
        <v>70.30597848064879</v>
      </c>
    </row>
    <row r="22" spans="1:14" ht="16.5" thickTop="1" thickBot="1" x14ac:dyDescent="0.3">
      <c r="A22" s="109" t="s">
        <v>41</v>
      </c>
      <c r="B22" s="110"/>
      <c r="C22" s="111">
        <f>(C13+C21)/2</f>
        <v>15.775161716226016</v>
      </c>
      <c r="D22" s="112"/>
      <c r="E22" s="113"/>
      <c r="F22" s="114"/>
      <c r="H22" s="115" t="s">
        <v>42</v>
      </c>
      <c r="I22" s="116"/>
      <c r="J22" t="s">
        <v>43</v>
      </c>
      <c r="K22" t="s">
        <v>44</v>
      </c>
      <c r="L22" t="s">
        <v>45</v>
      </c>
      <c r="M22" t="s">
        <v>46</v>
      </c>
    </row>
    <row r="23" spans="1:14" ht="18.75" thickBot="1" x14ac:dyDescent="0.3">
      <c r="A23" s="117" t="s">
        <v>47</v>
      </c>
      <c r="B23" s="118"/>
      <c r="C23" s="47" t="s">
        <v>24</v>
      </c>
      <c r="D23" s="119" t="s">
        <v>25</v>
      </c>
      <c r="E23" s="120" t="s">
        <v>26</v>
      </c>
      <c r="F23" s="121" t="s">
        <v>27</v>
      </c>
      <c r="H23" s="122" t="s">
        <v>26</v>
      </c>
      <c r="I23" s="123" t="s">
        <v>27</v>
      </c>
      <c r="K23" t="s">
        <v>48</v>
      </c>
    </row>
    <row r="24" spans="1:14" ht="16.5" thickBot="1" x14ac:dyDescent="0.3">
      <c r="A24" s="124"/>
      <c r="B24" s="125"/>
      <c r="C24" s="126" t="s">
        <v>29</v>
      </c>
      <c r="D24" s="127">
        <f>'[1]Tableau cotisations 2019'!I17</f>
        <v>2.3167200000000001</v>
      </c>
      <c r="E24" s="128">
        <f>'[1]Tableau cotisations 2019'!I21</f>
        <v>3.73672</v>
      </c>
      <c r="F24" s="129">
        <f>'[1]Tableau cotisations 2019'!I25</f>
        <v>3.6667200000000002</v>
      </c>
      <c r="H24" s="130"/>
      <c r="I24" s="131"/>
    </row>
    <row r="25" spans="1:14" x14ac:dyDescent="0.25">
      <c r="A25" s="132"/>
      <c r="B25" s="133" t="s">
        <v>49</v>
      </c>
      <c r="C25" s="134"/>
      <c r="D25" s="135">
        <f>C25*$D$24</f>
        <v>0</v>
      </c>
      <c r="E25" s="136">
        <f>C25*$E$24</f>
        <v>0</v>
      </c>
      <c r="F25" s="137">
        <f>C25*$F$24</f>
        <v>0</v>
      </c>
      <c r="G25" s="138">
        <f>(1000+1000+(4400*4))/(151.67*11)</f>
        <v>11.747993550591296</v>
      </c>
      <c r="H25" s="139">
        <f>E25-G25</f>
        <v>-11.747993550591296</v>
      </c>
      <c r="I25" s="140">
        <f>F25-G25</f>
        <v>-11.747993550591296</v>
      </c>
    </row>
    <row r="26" spans="1:14" x14ac:dyDescent="0.25">
      <c r="A26" s="141"/>
      <c r="B26" s="142" t="s">
        <v>50</v>
      </c>
      <c r="C26" s="134"/>
      <c r="D26" s="80">
        <f>C26*$D$24</f>
        <v>0</v>
      </c>
      <c r="E26" s="81">
        <f>C26*$E$24</f>
        <v>0</v>
      </c>
      <c r="F26" s="143">
        <f>C26*$F$24</f>
        <v>0</v>
      </c>
      <c r="G26" s="144">
        <f>(1000)/(151.67*11)</f>
        <v>0.59938742605057638</v>
      </c>
      <c r="H26" s="139">
        <f>E26-G26</f>
        <v>-0.59938742605057638</v>
      </c>
      <c r="I26" s="140">
        <f>F26-G26</f>
        <v>-0.59938742605057638</v>
      </c>
    </row>
    <row r="27" spans="1:14" x14ac:dyDescent="0.25">
      <c r="A27" s="145" t="s">
        <v>51</v>
      </c>
      <c r="B27" s="146" t="s">
        <v>52</v>
      </c>
      <c r="C27" s="134"/>
      <c r="D27" s="80">
        <f>C27*$D$24</f>
        <v>0</v>
      </c>
      <c r="E27" s="81">
        <f>C27*$E$24</f>
        <v>0</v>
      </c>
      <c r="F27" s="143">
        <f>C27*$F$24</f>
        <v>0</v>
      </c>
      <c r="G27" s="144">
        <f>(1000+250+900)/(151.67*11)</f>
        <v>1.2886829660087391</v>
      </c>
      <c r="H27" s="139">
        <f>E27-G27</f>
        <v>-1.2886829660087391</v>
      </c>
      <c r="I27" s="140">
        <f>F27-G27</f>
        <v>-1.2886829660087391</v>
      </c>
      <c r="J27" s="147"/>
    </row>
    <row r="28" spans="1:14" x14ac:dyDescent="0.25">
      <c r="A28" s="145" t="s">
        <v>51</v>
      </c>
      <c r="B28" s="146" t="s">
        <v>50</v>
      </c>
      <c r="C28" s="134"/>
      <c r="D28" s="148">
        <f>C28*$D$24</f>
        <v>0</v>
      </c>
      <c r="E28" s="149">
        <f>C28*$E$24</f>
        <v>0</v>
      </c>
      <c r="F28" s="150">
        <f>C28*$F$24</f>
        <v>0</v>
      </c>
      <c r="G28" s="144">
        <f>(1000+250+900)/(151.67*11)</f>
        <v>1.2886829660087391</v>
      </c>
      <c r="H28" s="139">
        <f>E28-G28</f>
        <v>-1.2886829660087391</v>
      </c>
      <c r="I28" s="140">
        <f>F28-G28</f>
        <v>-1.2886829660087391</v>
      </c>
    </row>
    <row r="29" spans="1:14" ht="15.75" thickBot="1" x14ac:dyDescent="0.3">
      <c r="A29" s="151" t="s">
        <v>53</v>
      </c>
      <c r="B29" s="152"/>
      <c r="C29" s="153"/>
      <c r="D29" s="80"/>
      <c r="E29" s="81"/>
      <c r="F29" s="143"/>
      <c r="G29" s="144"/>
      <c r="H29" s="154"/>
      <c r="I29" s="155"/>
    </row>
    <row r="30" spans="1:14" x14ac:dyDescent="0.25">
      <c r="A30" s="156" t="s">
        <v>54</v>
      </c>
      <c r="B30" s="157" t="s">
        <v>49</v>
      </c>
      <c r="C30" s="158"/>
      <c r="D30" s="159">
        <f>C30*$D$24</f>
        <v>0</v>
      </c>
      <c r="E30" s="160">
        <f>C30*$E$24</f>
        <v>0</v>
      </c>
      <c r="F30" s="161">
        <f>C30*$F$24</f>
        <v>0</v>
      </c>
      <c r="G30" s="138">
        <f>(1000+1000+(4400*4))/(151.67*11)</f>
        <v>11.747993550591296</v>
      </c>
      <c r="H30" s="162">
        <f>E30-G30</f>
        <v>-11.747993550591296</v>
      </c>
      <c r="I30" s="163">
        <f>F30-G30</f>
        <v>-11.747993550591296</v>
      </c>
    </row>
    <row r="31" spans="1:14" ht="15.75" thickBot="1" x14ac:dyDescent="0.3">
      <c r="A31" s="164" t="s">
        <v>55</v>
      </c>
      <c r="B31" s="165" t="s">
        <v>49</v>
      </c>
      <c r="C31" s="166"/>
      <c r="D31" s="167">
        <f>C31*$D$24</f>
        <v>0</v>
      </c>
      <c r="E31" s="167">
        <f>C31*$E$24</f>
        <v>0</v>
      </c>
      <c r="F31" s="168">
        <f>C31*$F$24</f>
        <v>0</v>
      </c>
      <c r="G31" s="169">
        <f>(1000+900+1000+1600)/(151.67*11)</f>
        <v>2.6972434172275936</v>
      </c>
      <c r="H31" s="170">
        <f>E31-G31</f>
        <v>-2.6972434172275936</v>
      </c>
      <c r="I31" s="171">
        <f>F31-G31</f>
        <v>-2.6972434172275936</v>
      </c>
    </row>
    <row r="32" spans="1:14" x14ac:dyDescent="0.25">
      <c r="A32" s="172" t="s">
        <v>56</v>
      </c>
      <c r="B32" s="133" t="s">
        <v>49</v>
      </c>
      <c r="C32" s="173">
        <f>4.01+(9.8/151.67)</f>
        <v>4.0746139645282522</v>
      </c>
      <c r="D32" s="159">
        <f>C32*$D$24</f>
        <v>9.4397396639018929</v>
      </c>
      <c r="E32" s="160">
        <f>C32*$E$24</f>
        <v>15.225691493532011</v>
      </c>
      <c r="F32" s="161">
        <f>C32*$F$24</f>
        <v>14.940468516015034</v>
      </c>
      <c r="G32" s="138">
        <f>(1000+1000)/(151.67*11)</f>
        <v>1.1987748521011528</v>
      </c>
      <c r="H32" s="174">
        <f>E32-G32</f>
        <v>14.026916641430859</v>
      </c>
      <c r="I32" s="175">
        <f>F32-G32</f>
        <v>13.741693663913882</v>
      </c>
      <c r="J32">
        <f>750*11</f>
        <v>8250</v>
      </c>
      <c r="L32">
        <v>1500</v>
      </c>
      <c r="M32">
        <f>J32-K32-L32</f>
        <v>6750</v>
      </c>
      <c r="N32" s="144">
        <f>M32/(151.67*11)*1.2</f>
        <v>4.8550381510096683</v>
      </c>
    </row>
    <row r="33" spans="1:14" ht="15.75" thickBot="1" x14ac:dyDescent="0.3">
      <c r="A33" s="176" t="s">
        <v>57</v>
      </c>
      <c r="B33" s="177" t="s">
        <v>50</v>
      </c>
      <c r="C33" s="173">
        <f>6.02+(9.8/151.67)</f>
        <v>6.084613964528252</v>
      </c>
      <c r="D33" s="178">
        <f>C33*$D$24</f>
        <v>14.096346863901893</v>
      </c>
      <c r="E33" s="178">
        <f>C33*$E$24</f>
        <v>22.73649869353201</v>
      </c>
      <c r="F33" s="179">
        <f>C33*$F$24</f>
        <v>22.310575716015034</v>
      </c>
      <c r="G33" s="180">
        <f>1000/(151.67*11)</f>
        <v>0.59938742605057638</v>
      </c>
      <c r="H33" s="170">
        <f>E33-G33</f>
        <v>22.137111267481433</v>
      </c>
      <c r="I33" s="171">
        <f>F33-G33</f>
        <v>21.711188289964458</v>
      </c>
    </row>
    <row r="34" spans="1:14" s="62" customFormat="1" ht="19.5" customHeight="1" x14ac:dyDescent="0.2">
      <c r="A34" s="57" t="s">
        <v>58</v>
      </c>
      <c r="B34" s="58"/>
      <c r="C34" s="59">
        <f>C33+0.8</f>
        <v>6.8846139645282518</v>
      </c>
      <c r="D34" s="178">
        <f>C34*$D$24</f>
        <v>15.949722863901892</v>
      </c>
      <c r="E34" s="178">
        <f>C34*$E$24</f>
        <v>25.72587469353201</v>
      </c>
      <c r="F34" s="179">
        <f>C34*$F$24</f>
        <v>25.243951716015033</v>
      </c>
    </row>
    <row r="35" spans="1:14" ht="15.75" thickBot="1" x14ac:dyDescent="0.3">
      <c r="A35" s="151" t="s">
        <v>53</v>
      </c>
      <c r="B35" s="181">
        <v>43709</v>
      </c>
      <c r="C35" s="182"/>
      <c r="D35" s="183"/>
      <c r="E35" s="81"/>
      <c r="F35" s="143"/>
      <c r="G35" s="144"/>
      <c r="H35" s="184"/>
      <c r="I35" s="185"/>
    </row>
    <row r="36" spans="1:14" ht="15.75" thickBot="1" x14ac:dyDescent="0.3">
      <c r="A36" s="186"/>
      <c r="B36" s="187" t="s">
        <v>49</v>
      </c>
      <c r="C36" s="158">
        <f>3.87+(8.2/151.67)</f>
        <v>3.9240647458297619</v>
      </c>
      <c r="D36" s="188">
        <f>C36*$D$24</f>
        <v>9.090959277958726</v>
      </c>
      <c r="E36" s="189">
        <f>C36*$E$24</f>
        <v>14.663131217036987</v>
      </c>
      <c r="F36" s="190">
        <f>C36*$F$24</f>
        <v>14.388446684828905</v>
      </c>
      <c r="G36" s="138">
        <f>(1000+1000+(4400*4))/(151.67*11)</f>
        <v>11.747993550591296</v>
      </c>
      <c r="H36" s="139">
        <f>E36-G36</f>
        <v>2.9151376664456912</v>
      </c>
      <c r="I36" s="140">
        <f>F36-G36</f>
        <v>2.6404531342376085</v>
      </c>
      <c r="J36">
        <f>625*11</f>
        <v>6875</v>
      </c>
      <c r="K36">
        <v>4400</v>
      </c>
      <c r="L36">
        <v>1500</v>
      </c>
      <c r="M36">
        <f>J36-K36-L36</f>
        <v>975</v>
      </c>
      <c r="N36" s="144">
        <f>M36/(151.67*11)*1.2</f>
        <v>0.70128328847917432</v>
      </c>
    </row>
    <row r="37" spans="1:14" s="62" customFormat="1" ht="19.5" customHeight="1" thickBot="1" x14ac:dyDescent="0.3">
      <c r="A37" s="57" t="s">
        <v>58</v>
      </c>
      <c r="B37" s="58"/>
      <c r="C37" s="59">
        <f>C36+0.82</f>
        <v>4.7440647458297622</v>
      </c>
      <c r="D37" s="188">
        <f>C37*$D$24</f>
        <v>10.990669677958728</v>
      </c>
      <c r="E37" s="189">
        <f>C37*$E$24</f>
        <v>17.727241617036988</v>
      </c>
      <c r="F37" s="190">
        <f>C37*$F$24</f>
        <v>17.395157084828906</v>
      </c>
    </row>
    <row r="38" spans="1:14" x14ac:dyDescent="0.25">
      <c r="A38" s="191" t="s">
        <v>59</v>
      </c>
      <c r="B38" s="192" t="s">
        <v>50</v>
      </c>
      <c r="C38" s="173">
        <f>4.01+(9.8/151.67)</f>
        <v>4.0746139645282522</v>
      </c>
      <c r="D38" s="188">
        <f>C38*$D$24</f>
        <v>9.4397396639018929</v>
      </c>
      <c r="E38" s="193">
        <f>C38*$E$24</f>
        <v>15.225691493532011</v>
      </c>
      <c r="F38" s="194">
        <f>C38*$F$24</f>
        <v>14.940468516015034</v>
      </c>
      <c r="G38" s="138">
        <f>(1000+(2200)/(151.67*1.5))/100</f>
        <v>10.096701171402826</v>
      </c>
      <c r="H38" s="139">
        <f>E38-G38</f>
        <v>5.1289903221291855</v>
      </c>
      <c r="I38" s="140">
        <f>F38-G38</f>
        <v>4.8437673446122087</v>
      </c>
    </row>
    <row r="39" spans="1:14" ht="15.75" thickBot="1" x14ac:dyDescent="0.3">
      <c r="A39" s="176" t="s">
        <v>60</v>
      </c>
      <c r="B39" s="192" t="s">
        <v>50</v>
      </c>
      <c r="C39" s="173">
        <v>5.08</v>
      </c>
      <c r="D39" s="195">
        <f>C39*$D$24</f>
        <v>11.768937600000001</v>
      </c>
      <c r="E39" s="193">
        <f>C39*$E$24</f>
        <v>18.982537600000001</v>
      </c>
      <c r="F39" s="194">
        <f>C39*$F$24</f>
        <v>18.626937600000002</v>
      </c>
      <c r="G39" s="144">
        <f>(1000)/(151.67*11)</f>
        <v>0.59938742605057638</v>
      </c>
      <c r="H39" s="196">
        <f>E39-G39</f>
        <v>18.383150173949424</v>
      </c>
      <c r="I39" s="197">
        <f>F39-G39</f>
        <v>18.027550173949425</v>
      </c>
    </row>
    <row r="40" spans="1:14" ht="15.75" thickBot="1" x14ac:dyDescent="0.3">
      <c r="A40" s="198" t="s">
        <v>53</v>
      </c>
      <c r="B40" s="199">
        <v>43964</v>
      </c>
      <c r="C40" s="200"/>
      <c r="D40" s="201"/>
      <c r="E40" s="202"/>
      <c r="F40" s="203"/>
      <c r="G40" s="144"/>
      <c r="H40" s="184"/>
      <c r="I40" s="185"/>
    </row>
    <row r="41" spans="1:14" x14ac:dyDescent="0.25">
      <c r="A41" s="204"/>
      <c r="B41" t="s">
        <v>49</v>
      </c>
      <c r="C41" s="205"/>
      <c r="D41" s="183">
        <f>C41*$D$24</f>
        <v>0</v>
      </c>
      <c r="E41" s="81">
        <f>C41*$E$24</f>
        <v>0</v>
      </c>
      <c r="F41" s="143">
        <f>C41*$F$24</f>
        <v>0</v>
      </c>
      <c r="G41" s="138">
        <f>(1000+1000+(4400*4))/(151.67*11)</f>
        <v>11.747993550591296</v>
      </c>
      <c r="H41" s="139">
        <f>E41-G41</f>
        <v>-11.747993550591296</v>
      </c>
      <c r="I41" s="140">
        <f>F41-G41</f>
        <v>-11.747993550591296</v>
      </c>
    </row>
    <row r="42" spans="1:14" x14ac:dyDescent="0.25">
      <c r="A42" s="204" t="s">
        <v>59</v>
      </c>
      <c r="C42" s="206"/>
      <c r="D42" s="183">
        <f>C42*$D$24</f>
        <v>0</v>
      </c>
      <c r="E42" s="81">
        <f>C42*$E$24</f>
        <v>0</v>
      </c>
      <c r="F42" s="143">
        <f>C42*$F$24</f>
        <v>0</v>
      </c>
      <c r="G42" s="144">
        <f>(1000+250+900)/(151.67*11)</f>
        <v>1.2886829660087391</v>
      </c>
      <c r="H42" s="139">
        <f>E42-G42</f>
        <v>-1.2886829660087391</v>
      </c>
      <c r="I42" s="140">
        <f>F42-G42</f>
        <v>-1.2886829660087391</v>
      </c>
    </row>
    <row r="43" spans="1:14" ht="15.75" thickBot="1" x14ac:dyDescent="0.3">
      <c r="A43" s="141"/>
      <c r="C43" s="206"/>
      <c r="D43" s="183">
        <f>C43*$D$24</f>
        <v>0</v>
      </c>
      <c r="E43" s="81">
        <f>C43*$E$24</f>
        <v>0</v>
      </c>
      <c r="F43" s="143">
        <f>C43*$F$24</f>
        <v>0</v>
      </c>
      <c r="G43" s="144">
        <f>(1000+250+900)/(151.67*11)</f>
        <v>1.2886829660087391</v>
      </c>
      <c r="H43" s="196">
        <f>E43-G43</f>
        <v>-1.2886829660087391</v>
      </c>
      <c r="I43" s="197">
        <f>F43-G43</f>
        <v>-1.2886829660087391</v>
      </c>
    </row>
    <row r="44" spans="1:14" ht="15.75" thickBot="1" x14ac:dyDescent="0.3">
      <c r="A44" s="207" t="s">
        <v>53</v>
      </c>
      <c r="B44" s="208"/>
      <c r="C44" s="209"/>
      <c r="D44" s="210"/>
      <c r="E44" s="211"/>
      <c r="F44" s="212"/>
    </row>
    <row r="45" spans="1:14" x14ac:dyDescent="0.25">
      <c r="A45" s="213" t="s">
        <v>61</v>
      </c>
      <c r="B45" s="214"/>
      <c r="C45" s="215"/>
      <c r="D45" s="216"/>
      <c r="E45" s="217"/>
      <c r="F45" s="218"/>
    </row>
    <row r="46" spans="1:14" x14ac:dyDescent="0.25">
      <c r="A46" s="219" t="s">
        <v>62</v>
      </c>
      <c r="B46" s="192"/>
      <c r="C46" s="220"/>
      <c r="D46" s="195">
        <f>D13+D32</f>
        <v>52.076034587321161</v>
      </c>
      <c r="E46" s="195">
        <f>E13+E32</f>
        <v>79.53887105399221</v>
      </c>
      <c r="F46" s="195">
        <f>F13+F32</f>
        <v>78.185069256339432</v>
      </c>
    </row>
    <row r="47" spans="1:14" x14ac:dyDescent="0.25">
      <c r="A47" s="219" t="s">
        <v>63</v>
      </c>
      <c r="B47" s="192"/>
      <c r="C47" s="220"/>
      <c r="D47" s="195">
        <f>D13+D33</f>
        <v>56.732641787321164</v>
      </c>
      <c r="E47" s="195">
        <f>E13+E33</f>
        <v>87.049678253992212</v>
      </c>
      <c r="F47" s="195">
        <f>F13+F33</f>
        <v>85.555176456339439</v>
      </c>
    </row>
    <row r="48" spans="1:14" x14ac:dyDescent="0.25">
      <c r="A48" s="219" t="s">
        <v>64</v>
      </c>
      <c r="B48" s="192"/>
      <c r="C48" s="220"/>
      <c r="D48" s="195" t="e">
        <f>D13+#REF!</f>
        <v>#REF!</v>
      </c>
      <c r="E48" s="195" t="e">
        <f>E13+#REF!</f>
        <v>#REF!</v>
      </c>
      <c r="F48" s="195" t="e">
        <f>F13+#REF!</f>
        <v>#REF!</v>
      </c>
    </row>
    <row r="49" spans="1:6" x14ac:dyDescent="0.25">
      <c r="A49" s="151"/>
      <c r="B49" s="221"/>
      <c r="C49" s="222" t="s">
        <v>65</v>
      </c>
      <c r="D49" s="135"/>
      <c r="E49" s="223" t="e">
        <f>SUM(E13+((E33+#REF!)/2))</f>
        <v>#REF!</v>
      </c>
      <c r="F49" s="223" t="e">
        <f>SUM(F46:F48)/2</f>
        <v>#REF!</v>
      </c>
    </row>
    <row r="50" spans="1:6" ht="15.75" thickBot="1" x14ac:dyDescent="0.3">
      <c r="A50" s="213" t="s">
        <v>66</v>
      </c>
      <c r="B50" s="214"/>
      <c r="C50" s="224"/>
      <c r="D50" s="216"/>
      <c r="E50" s="225"/>
      <c r="F50" s="226"/>
    </row>
    <row r="51" spans="1:6" ht="15.75" x14ac:dyDescent="0.25">
      <c r="A51" s="227" t="s">
        <v>67</v>
      </c>
      <c r="B51" s="187"/>
      <c r="C51" s="228">
        <v>0</v>
      </c>
      <c r="D51" s="229">
        <f>D17+((D36))</f>
        <v>56.487676124797261</v>
      </c>
      <c r="E51" s="230">
        <f>E17+((E41))</f>
        <v>71.493866120920416</v>
      </c>
      <c r="F51" s="229">
        <f>F17+((F41))</f>
        <v>70.30597848064879</v>
      </c>
    </row>
    <row r="52" spans="1:6" ht="15.75" x14ac:dyDescent="0.25">
      <c r="A52" s="219" t="s">
        <v>63</v>
      </c>
      <c r="B52" s="231"/>
      <c r="C52" s="220"/>
      <c r="D52" s="232">
        <f>D17+((D38))</f>
        <v>56.836456510740433</v>
      </c>
      <c r="E52" s="233">
        <f>E17+((E32))</f>
        <v>86.719557614452427</v>
      </c>
      <c r="F52" s="234">
        <f>F17+((F32))</f>
        <v>85.246446996663821</v>
      </c>
    </row>
    <row r="53" spans="1:6" ht="15.75" x14ac:dyDescent="0.25">
      <c r="A53" s="219" t="s">
        <v>64</v>
      </c>
      <c r="B53" s="235"/>
      <c r="C53" s="236"/>
      <c r="D53" s="232">
        <f>D17+((D39))</f>
        <v>59.165654446838538</v>
      </c>
      <c r="E53" s="237">
        <f>E17+((E39))</f>
        <v>90.476403720920416</v>
      </c>
      <c r="F53" s="238">
        <f>F17+((F39))</f>
        <v>88.932916080648795</v>
      </c>
    </row>
    <row r="54" spans="1:6" s="88" customFormat="1" ht="13.5" thickBot="1" x14ac:dyDescent="0.25">
      <c r="A54" s="239" t="s">
        <v>68</v>
      </c>
      <c r="B54" s="240"/>
      <c r="C54" s="241"/>
      <c r="D54" s="242">
        <f>D17+((9.61*2)+(8.52/7.75)*1.111)</f>
        <v>67.838100072644991</v>
      </c>
      <c r="E54" s="242">
        <f>E17+((9.61*2)+(8.52/7.75)*1.111)</f>
        <v>91.935249346726863</v>
      </c>
      <c r="F54" s="242">
        <f>F17+((9.61*2)+(8.52/7.75)*1.111)</f>
        <v>90.747361706455237</v>
      </c>
    </row>
  </sheetData>
  <mergeCells count="2">
    <mergeCell ref="A1:F1"/>
    <mergeCell ref="H22:I2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MARIE</dc:creator>
  <cp:lastModifiedBy>Ermelinda</cp:lastModifiedBy>
  <cp:lastPrinted>2022-03-17T14:14:06Z</cp:lastPrinted>
  <dcterms:created xsi:type="dcterms:W3CDTF">2020-08-12T09:29:53Z</dcterms:created>
  <dcterms:modified xsi:type="dcterms:W3CDTF">2022-03-17T14:14:09Z</dcterms:modified>
</cp:coreProperties>
</file>